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7155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C87" authorId="0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распределена на М.Ж. 42, 42/311, 30; М309, Л 288</t>
        </r>
      </text>
    </comment>
    <comment ref="F87" authorId="0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распределена на М.Ж. 42, 42/311, 30; М309, Л 288</t>
        </r>
      </text>
    </comment>
    <comment ref="H87" authorId="0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распределена на М.Ж. 42, 42/311, 30; М309, </t>
        </r>
      </text>
    </comment>
  </commentList>
</comments>
</file>

<file path=xl/sharedStrings.xml><?xml version="1.0" encoding="utf-8"?>
<sst xmlns="http://schemas.openxmlformats.org/spreadsheetml/2006/main" count="89" uniqueCount="70">
  <si>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</si>
  <si>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</si>
  <si>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</si>
  <si>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</si>
  <si>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</si>
  <si>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</si>
  <si>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</si>
  <si>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</si>
  <si>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</si>
  <si>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</si>
  <si>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</si>
  <si>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</si>
  <si>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</si>
  <si>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r>
      <t>ООО УК "ЖЭУ-2"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</si>
  <si>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</si>
  <si>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</si>
  <si>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</si>
  <si>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r>
      <t>ООО "Печник"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</si>
  <si>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</si>
  <si>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</si>
  <si>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</si>
  <si>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</si>
  <si>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</si>
  <si>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</si>
  <si>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</si>
  <si>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</si>
  <si>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</si>
  <si>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</si>
  <si>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</si>
  <si>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</si>
  <si>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</si>
  <si>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</si>
  <si>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</si>
  <si>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</si>
  <si>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>С.А. Сычева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</si>
  <si>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дезинсекцияция (площадь подвала- м2)</t>
    </r>
  </si>
  <si>
    <t>Техническое обслуживание общедомовой системы холодного водоснабжения</t>
  </si>
  <si>
    <t xml:space="preserve">      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</si>
  <si>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</si>
  <si>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</si>
  <si>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</si>
  <si>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дератизация (площадь подвала-140 м2)</t>
    </r>
  </si>
  <si>
    <t>Г.В. Ивахненко</t>
  </si>
  <si>
    <t xml:space="preserve">Поступило от ООО "Первое цифровое телевидение" за размещение оборудования 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</si>
  <si>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</si>
  <si>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</si>
  <si>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</si>
  <si>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Начислено за период</t>
  </si>
  <si>
    <t>Поступило в отчетном периоде</t>
  </si>
  <si>
    <t>руб. за период</t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</si>
  <si>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холодного водоснабжения</t>
    </r>
  </si>
  <si>
    <r>
      <t xml:space="preserve">Дополнительно оказанные услуги (локальная смета): </t>
    </r>
    <r>
      <rPr>
        <sz val="10"/>
        <rFont val="Arial"/>
        <family val="0"/>
      </rPr>
      <t xml:space="preserve"> - маслянная окраска оборудования детских площадок (июнь 2012 г.)</t>
    </r>
  </si>
  <si>
    <t>Поступило от ООО "Русмедиа"</t>
  </si>
  <si>
    <t>Отчет ООО УК "ЖЭУ-2" за  2012 г. о выполненных работах по управлению, содержанию и техническому обслуживанию жилого многоквартирного дома ул. Мира 309</t>
  </si>
  <si>
    <t>Задолженность* на 01.01.2013 г.</t>
  </si>
  <si>
    <t>Остаток денежных средств на 01.01.2013 г.</t>
  </si>
  <si>
    <t>Остаток денежных средств на 01.01.2012 г.</t>
  </si>
  <si>
    <t>руб.</t>
  </si>
  <si>
    <t>Итого затрат:</t>
  </si>
  <si>
    <t xml:space="preserve"> - Устранение неполадок в санузле (течь бочка унитаза) (01.2012)</t>
  </si>
  <si>
    <t xml:space="preserve"> - Устройство ограждений в местах потенциального обрушения сосулек (01.2012)</t>
  </si>
  <si>
    <t xml:space="preserve"> - Очистка кровли от снега и наледи; обследование кровельного покрытия на наличие течи (кв.29) (10.02.2012)</t>
  </si>
  <si>
    <t xml:space="preserve"> - Очистка кровли от снега (кв.16) (27.02.2012)</t>
  </si>
  <si>
    <t xml:space="preserve"> - Осмотр теплового узла; промазка задвижек 916.03.2012)</t>
  </si>
  <si>
    <t xml:space="preserve"> - Ремонт водосточных труб: 1 колено (03.2012)</t>
  </si>
  <si>
    <t xml:space="preserve"> - Ремонт примыкания к канализационному стояку на кровле (кв.13) (02.06.2012)</t>
  </si>
  <si>
    <t xml:space="preserve"> - Окраска стоек сушки для белья (06.2012)</t>
  </si>
  <si>
    <t xml:space="preserve"> - замена ламп накаливания - 8 шт. патрона -4 шт</t>
  </si>
  <si>
    <t>Содержание и техническое обслуживание  многоквартирного дома</t>
  </si>
  <si>
    <t>Утвержденный тариф (с 2011 г.): 12,30 руб./м2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</si>
</sst>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" fillId="0" borderId="26" xfId="0" applyFont="1" applyBorder="1" applyAlignment="1">
      <alignment wrapText="1"/>
    </xf>
    <xf numFmtId="0" fontId="2" fillId="0" borderId="27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2" fontId="1" fillId="4" borderId="28" xfId="0" applyNumberFormat="1" applyFont="1" applyFill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2" fontId="6" fillId="0" borderId="0" xfId="0" applyNumberFormat="1" applyFont="1" applyAlignment="1">
      <alignment/>
    </xf>
    <xf numFmtId="2" fontId="0" fillId="0" borderId="3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0" fontId="5" fillId="0" borderId="36" xfId="0" applyFont="1" applyFill="1" applyBorder="1" applyAlignment="1">
      <alignment horizontal="left" wrapText="1"/>
    </xf>
    <xf numFmtId="2" fontId="0" fillId="0" borderId="33" xfId="0" applyNumberFormat="1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31" xfId="0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2" fontId="1" fillId="0" borderId="35" xfId="0" applyNumberFormat="1" applyFont="1" applyBorder="1" applyAlignment="1">
      <alignment wrapText="1"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2" fontId="0" fillId="0" borderId="11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0" fillId="4" borderId="39" xfId="0" applyFill="1" applyBorder="1" applyAlignment="1">
      <alignment/>
    </xf>
    <xf numFmtId="0" fontId="0" fillId="4" borderId="17" xfId="0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29" xfId="0" applyFill="1" applyBorder="1" applyAlignment="1">
      <alignment/>
    </xf>
    <xf numFmtId="2" fontId="0" fillId="4" borderId="18" xfId="0" applyNumberFormat="1" applyFill="1" applyBorder="1" applyAlignment="1">
      <alignment/>
    </xf>
    <xf numFmtId="0" fontId="0" fillId="4" borderId="12" xfId="0" applyFon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8" fillId="0" borderId="44" xfId="0" applyNumberFormat="1" applyFont="1" applyFill="1" applyBorder="1" applyAlignment="1">
      <alignment/>
    </xf>
    <xf numFmtId="2" fontId="8" fillId="0" borderId="4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2" fontId="8" fillId="0" borderId="14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6" fillId="0" borderId="0" xfId="0" applyFont="1" applyAlignment="1">
      <alignment horizontal="right"/>
    </xf>
    <xf numFmtId="0" fontId="1" fillId="0" borderId="49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2" fontId="1" fillId="0" borderId="15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0" fontId="1" fillId="4" borderId="50" xfId="0" applyFont="1" applyFill="1" applyBorder="1" applyAlignment="1">
      <alignment/>
    </xf>
    <xf numFmtId="0" fontId="0" fillId="4" borderId="13" xfId="0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1" fillId="0" borderId="45" xfId="0" applyNumberFormat="1" applyFont="1" applyFill="1" applyBorder="1" applyAlignment="1">
      <alignment/>
    </xf>
    <xf numFmtId="2" fontId="1" fillId="0" borderId="51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50">
          <cell r="R50">
            <v>0.6000000000000001</v>
          </cell>
          <cell r="X50">
            <v>0.71</v>
          </cell>
          <cell r="AH50">
            <v>1.04</v>
          </cell>
          <cell r="AN50">
            <v>1.24</v>
          </cell>
        </row>
      </sheetData>
      <sheetData sheetId="3">
        <row r="50">
          <cell r="C50">
            <v>1286.9</v>
          </cell>
          <cell r="L50">
            <v>817.1815</v>
          </cell>
          <cell r="M50">
            <v>463.284</v>
          </cell>
          <cell r="P50">
            <v>281.57372000000004</v>
          </cell>
          <cell r="AN50">
            <v>1.5656696974823225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50">
          <cell r="BC50">
            <v>1.5891764785159885</v>
          </cell>
          <cell r="BJ50">
            <v>1.9530894636998835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38">
          <cell r="O38">
            <v>302382</v>
          </cell>
        </row>
        <row r="52">
          <cell r="O52">
            <v>94973.22</v>
          </cell>
          <cell r="P52">
            <v>98381.74999999999</v>
          </cell>
        </row>
      </sheetData>
      <sheetData sheetId="4">
        <row r="38">
          <cell r="AM38">
            <v>217671.83000000002</v>
          </cell>
        </row>
        <row r="50">
          <cell r="AM50">
            <v>55088.7</v>
          </cell>
          <cell r="AN50">
            <v>56488.549999999996</v>
          </cell>
        </row>
      </sheetData>
      <sheetData sheetId="6">
        <row r="50">
          <cell r="AG50">
            <v>1080</v>
          </cell>
          <cell r="AH50">
            <v>1478.45</v>
          </cell>
          <cell r="AN50">
            <v>0</v>
          </cell>
          <cell r="AS50">
            <v>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56">
          <cell r="O56">
            <v>308.1</v>
          </cell>
          <cell r="P56">
            <v>517.71</v>
          </cell>
          <cell r="Q56">
            <v>550.5490309429567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57">
          <cell r="V57">
            <v>0.7357128363614084</v>
          </cell>
          <cell r="AB57">
            <v>0.33107077636263377</v>
          </cell>
          <cell r="AD57">
            <v>0.6253559109071971</v>
          </cell>
          <cell r="AH57">
            <v>0.09865909135606488</v>
          </cell>
          <cell r="AZ57">
            <v>1.267135571223691</v>
          </cell>
          <cell r="BF57">
            <v>0.570211007050661</v>
          </cell>
          <cell r="BH57">
            <v>1.0770652355401373</v>
          </cell>
          <cell r="BL57">
            <v>0.169922880101097</v>
          </cell>
          <cell r="BW57">
            <v>1.9933487714061693</v>
          </cell>
          <cell r="CD57">
            <v>0.8970069471327762</v>
          </cell>
          <cell r="CF57">
            <v>1.6943464556952437</v>
          </cell>
          <cell r="CJ57">
            <v>0.2583380007742395</v>
          </cell>
        </row>
      </sheetData>
      <sheetData sheetId="1">
        <row r="57">
          <cell r="R57">
            <v>308.856</v>
          </cell>
        </row>
      </sheetData>
      <sheetData sheetId="2">
        <row r="52">
          <cell r="O52">
            <v>189946.43999999997</v>
          </cell>
          <cell r="P52">
            <v>190375.53</v>
          </cell>
          <cell r="Q52">
            <v>1637.13</v>
          </cell>
        </row>
      </sheetData>
      <sheetData sheetId="4">
        <row r="50">
          <cell r="AM50">
            <v>118498.84</v>
          </cell>
          <cell r="AN50">
            <v>111162.31</v>
          </cell>
          <cell r="AO50">
            <v>325.07000000000005</v>
          </cell>
        </row>
      </sheetData>
      <sheetData sheetId="6">
        <row r="52">
          <cell r="AG52">
            <v>384</v>
          </cell>
          <cell r="AN52">
            <v>126</v>
          </cell>
          <cell r="AS5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56">
          <cell r="O56">
            <v>849.33</v>
          </cell>
          <cell r="P56">
            <v>261.4</v>
          </cell>
          <cell r="Q56">
            <v>1070.2015805985307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A99" sqref="A99"/>
    </sheetView>
  </sheetViews>
  <sheetFormatPr defaultColWidth="9.140625" defaultRowHeight="12.75"/>
  <cols>
    <col min="1" max="1" width="72.28125" style="0" customWidth="1"/>
    <col min="2" max="2" width="13.7109375" style="50" hidden="1" customWidth="1"/>
    <col min="3" max="3" width="13.00390625" style="50" hidden="1" customWidth="1"/>
    <col min="4" max="4" width="0" style="0" hidden="1" customWidth="1"/>
    <col min="5" max="5" width="13.7109375" style="50" hidden="1" customWidth="1"/>
    <col min="6" max="6" width="13.00390625" style="50" hidden="1" customWidth="1"/>
    <col min="7" max="7" width="13.7109375" style="50" customWidth="1"/>
    <col min="8" max="8" width="13.00390625" style="50" customWidth="1"/>
    <col min="9" max="9" width="18.140625" style="0" customWidth="1"/>
  </cols>
  <sheetData>
    <row r="1" spans="1:8" ht="15" customHeight="1">
      <c r="A1" s="148" t="s">
        <v>53</v>
      </c>
      <c r="B1" s="148"/>
      <c r="C1" s="148"/>
      <c r="D1" s="148"/>
      <c r="E1" s="148"/>
      <c r="F1" s="148"/>
      <c r="G1" s="148"/>
      <c r="H1" s="148"/>
    </row>
    <row r="2" spans="1:8" ht="15" customHeight="1">
      <c r="A2" s="148"/>
      <c r="B2" s="148"/>
      <c r="C2" s="148"/>
      <c r="D2" s="148"/>
      <c r="E2" s="148"/>
      <c r="F2" s="148"/>
      <c r="G2" s="148"/>
      <c r="H2" s="148"/>
    </row>
    <row r="3" spans="1:8" ht="15" customHeight="1">
      <c r="A3" s="148"/>
      <c r="B3" s="148"/>
      <c r="C3" s="148"/>
      <c r="D3" s="148"/>
      <c r="E3" s="148"/>
      <c r="F3" s="148"/>
      <c r="G3" s="148"/>
      <c r="H3" s="148"/>
    </row>
    <row r="4" spans="1:8" ht="12.75" hidden="1">
      <c r="A4" s="20"/>
      <c r="B4" s="142"/>
      <c r="C4" s="142"/>
      <c r="E4" s="142"/>
      <c r="F4" s="142"/>
      <c r="G4" s="142"/>
      <c r="H4" s="142"/>
    </row>
    <row r="5" spans="1:8" ht="12.75" hidden="1">
      <c r="A5" s="21"/>
      <c r="B5" s="49"/>
      <c r="C5" s="49"/>
      <c r="E5" s="49"/>
      <c r="F5" s="49"/>
      <c r="G5" s="49"/>
      <c r="H5" s="49"/>
    </row>
    <row r="6" spans="1:8" ht="13.5" thickBot="1">
      <c r="A6" s="21"/>
      <c r="B6" s="49"/>
      <c r="C6" s="49"/>
      <c r="E6" s="49"/>
      <c r="F6" s="49"/>
      <c r="G6" s="49"/>
      <c r="H6" s="49"/>
    </row>
    <row r="7" spans="1:9" s="23" customFormat="1" ht="41.25" customHeight="1" thickBot="1">
      <c r="A7" s="40" t="s">
        <v>25</v>
      </c>
      <c r="B7" s="78" t="s">
        <v>47</v>
      </c>
      <c r="C7" s="78" t="s">
        <v>48</v>
      </c>
      <c r="D7" s="78"/>
      <c r="E7" s="78" t="s">
        <v>47</v>
      </c>
      <c r="F7" s="78" t="s">
        <v>48</v>
      </c>
      <c r="G7" s="78" t="s">
        <v>47</v>
      </c>
      <c r="H7" s="78" t="s">
        <v>48</v>
      </c>
      <c r="I7" s="79" t="s">
        <v>54</v>
      </c>
    </row>
    <row r="8" spans="1:9" ht="12.75">
      <c r="A8" s="80" t="s">
        <v>44</v>
      </c>
      <c r="B8" s="81">
        <f>'[3]Начисление'!$O$52</f>
        <v>94973.22</v>
      </c>
      <c r="C8" s="81">
        <f>'[3]Начисление'!$P$52</f>
        <v>98381.74999999999</v>
      </c>
      <c r="D8" s="81">
        <f>'[3]Начисление'!$O$38</f>
        <v>302382</v>
      </c>
      <c r="E8" s="81">
        <f>G8-B8</f>
        <v>94973.21999999997</v>
      </c>
      <c r="F8" s="81">
        <f>H8-C8</f>
        <v>91993.78000000001</v>
      </c>
      <c r="G8" s="81">
        <f>'[5]Начисление'!$O$52</f>
        <v>189946.43999999997</v>
      </c>
      <c r="H8" s="81">
        <f>'[5]Начисление'!$P$52</f>
        <v>190375.53</v>
      </c>
      <c r="I8" s="81">
        <f>'[5]Начисление'!$Q$52</f>
        <v>1637.13</v>
      </c>
    </row>
    <row r="9" spans="1:9" ht="13.5" thickBot="1">
      <c r="A9" s="12" t="s">
        <v>45</v>
      </c>
      <c r="B9" s="82">
        <f>'[3]Начис электроэн'!$AM$50</f>
        <v>55088.7</v>
      </c>
      <c r="C9" s="82">
        <f>'[3]Начис электроэн'!$AN$50</f>
        <v>56488.549999999996</v>
      </c>
      <c r="D9" s="82">
        <f>'[3]Начис электроэн'!$AM$38</f>
        <v>217671.83000000002</v>
      </c>
      <c r="E9" s="81">
        <f>G9-B9</f>
        <v>63410.14</v>
      </c>
      <c r="F9" s="81">
        <f>H9-C9</f>
        <v>54673.76</v>
      </c>
      <c r="G9" s="82">
        <f>'[5]Начис электроэн'!$AM$50</f>
        <v>118498.84</v>
      </c>
      <c r="H9" s="82">
        <f>'[5]Начис электроэн'!$AN$50</f>
        <v>111162.31</v>
      </c>
      <c r="I9" s="82">
        <f>'[5]Начис электроэн'!$AO$50</f>
        <v>325.07000000000005</v>
      </c>
    </row>
    <row r="10" spans="1:9" ht="13.5" thickBot="1">
      <c r="A10" s="71" t="s">
        <v>46</v>
      </c>
      <c r="B10" s="72">
        <f aca="true" t="shared" si="0" ref="B10:I10">SUM(B8:B9)</f>
        <v>150061.91999999998</v>
      </c>
      <c r="C10" s="72">
        <f t="shared" si="0"/>
        <v>154870.3</v>
      </c>
      <c r="D10" s="72">
        <f t="shared" si="0"/>
        <v>520053.83</v>
      </c>
      <c r="E10" s="72">
        <f t="shared" si="0"/>
        <v>158383.36</v>
      </c>
      <c r="F10" s="72">
        <f t="shared" si="0"/>
        <v>146667.54</v>
      </c>
      <c r="G10" s="72">
        <f t="shared" si="0"/>
        <v>308445.27999999997</v>
      </c>
      <c r="H10" s="72">
        <f t="shared" si="0"/>
        <v>301537.83999999997</v>
      </c>
      <c r="I10" s="72">
        <f t="shared" si="0"/>
        <v>1962.2000000000003</v>
      </c>
    </row>
    <row r="11" ht="12.75"/>
    <row r="12" spans="1:8" ht="15">
      <c r="A12" s="125" t="s">
        <v>56</v>
      </c>
      <c r="G12" s="7">
        <v>7367.59</v>
      </c>
      <c r="H12" s="7" t="s">
        <v>57</v>
      </c>
    </row>
    <row r="13" ht="12.75"/>
    <row r="14" spans="1:8" s="5" customFormat="1" ht="12.75">
      <c r="A14" s="73" t="s">
        <v>32</v>
      </c>
      <c r="B14" s="5">
        <f>'[1]Подрядч'!$C$50</f>
        <v>1286.9</v>
      </c>
      <c r="C14" s="5" t="s">
        <v>31</v>
      </c>
      <c r="E14" s="5">
        <f>'[1]Подрядч'!$C$50</f>
        <v>1286.9</v>
      </c>
      <c r="F14" s="5" t="s">
        <v>31</v>
      </c>
      <c r="G14" s="5">
        <f>'[1]Подрядч'!$C$50</f>
        <v>1286.9</v>
      </c>
      <c r="H14" s="5" t="s">
        <v>31</v>
      </c>
    </row>
    <row r="15" spans="1:8" s="5" customFormat="1" ht="13.5" thickBot="1">
      <c r="A15" s="83" t="s">
        <v>69</v>
      </c>
      <c r="B15" s="84"/>
      <c r="C15" s="85">
        <v>6</v>
      </c>
      <c r="E15" s="84"/>
      <c r="F15" s="85">
        <v>6</v>
      </c>
      <c r="G15" s="84"/>
      <c r="H15" s="85">
        <v>12</v>
      </c>
    </row>
    <row r="16" spans="1:8" s="23" customFormat="1" ht="26.25" thickBot="1">
      <c r="A16" s="17" t="s">
        <v>25</v>
      </c>
      <c r="B16" s="22" t="s">
        <v>33</v>
      </c>
      <c r="C16" s="74" t="s">
        <v>49</v>
      </c>
      <c r="D16" s="33"/>
      <c r="E16" s="22" t="s">
        <v>33</v>
      </c>
      <c r="F16" s="74" t="s">
        <v>49</v>
      </c>
      <c r="G16" s="22" t="s">
        <v>33</v>
      </c>
      <c r="H16" s="74" t="s">
        <v>49</v>
      </c>
    </row>
    <row r="17" spans="1:8" ht="12.75">
      <c r="A17" s="16" t="s">
        <v>13</v>
      </c>
      <c r="B17" s="39">
        <f>'[1]Подрядч'!$AN$50</f>
        <v>1.5656696974823225</v>
      </c>
      <c r="C17" s="52">
        <f>B17*B14*C15</f>
        <v>12089.162002140005</v>
      </c>
      <c r="D17" s="34"/>
      <c r="E17" s="39"/>
      <c r="F17" s="52"/>
      <c r="G17" s="39">
        <f>H17/H15/G14</f>
        <v>0.7828348487411612</v>
      </c>
      <c r="H17" s="52">
        <f>F17+C17</f>
        <v>12089.162002140005</v>
      </c>
    </row>
    <row r="18" spans="1:8" ht="12.75">
      <c r="A18" s="8" t="s">
        <v>12</v>
      </c>
      <c r="B18" s="6">
        <f>C18/B14/C15</f>
        <v>2.056583125469474</v>
      </c>
      <c r="C18" s="53">
        <f>SUM(C19:C26)</f>
        <v>15879.700945</v>
      </c>
      <c r="D18" s="34"/>
      <c r="E18" s="6">
        <f>F18/E14/F15</f>
        <v>1.7909127360323256</v>
      </c>
      <c r="F18" s="53">
        <f>SUM(F19:F26)</f>
        <v>13828.3536</v>
      </c>
      <c r="G18" s="6">
        <f>H18/G14/H15</f>
        <v>1.9237479307509</v>
      </c>
      <c r="H18" s="53">
        <f>SUM(H19:H26)</f>
        <v>29708.054545000003</v>
      </c>
    </row>
    <row r="19" spans="1:8" ht="12.75">
      <c r="A19" s="9" t="s">
        <v>14</v>
      </c>
      <c r="B19" s="51">
        <f>C19/$C$15/$B$14</f>
        <v>0.5032786314657962</v>
      </c>
      <c r="C19" s="88">
        <f>(C8*3.25%)+(B9*1.25%)</f>
        <v>3886.0156249999995</v>
      </c>
      <c r="D19" s="34"/>
      <c r="E19" s="51">
        <f>F19/$C$15/$B$14</f>
        <v>0.48986253788173134</v>
      </c>
      <c r="F19" s="88">
        <f>(F8*3.25%)+(E9*1.25%)</f>
        <v>3782.4246000000003</v>
      </c>
      <c r="G19" s="51">
        <f>H19/$H$15/$G$14</f>
        <v>0.49657058467376386</v>
      </c>
      <c r="H19" s="88">
        <f>(H8*3.25%)+(G9*1.25%)</f>
        <v>7668.440225</v>
      </c>
    </row>
    <row r="20" spans="1:8" ht="12.75">
      <c r="A20" s="10" t="s">
        <v>17</v>
      </c>
      <c r="B20" s="51">
        <f aca="true" t="shared" si="1" ref="B20:B26">C20/$C$15/$B$14</f>
        <v>0.13987100784831766</v>
      </c>
      <c r="C20" s="75">
        <f>'[3]Подрядч факт'!$AG$50</f>
        <v>1080</v>
      </c>
      <c r="D20" s="34" t="s">
        <v>37</v>
      </c>
      <c r="E20" s="51">
        <f aca="true" t="shared" si="2" ref="E20:E26">F20/$C$15/$B$14</f>
        <v>0.049731913901624056</v>
      </c>
      <c r="F20" s="75">
        <f>'[5]Подрядч факт'!$AG$52</f>
        <v>384</v>
      </c>
      <c r="G20" s="51">
        <f aca="true" t="shared" si="3" ref="G20:G26">H20/$H$15/$G$14</f>
        <v>0.09480146087497085</v>
      </c>
      <c r="H20" s="75">
        <f>F20+C20</f>
        <v>1464</v>
      </c>
    </row>
    <row r="21" spans="1:8" ht="12.75">
      <c r="A21" s="10" t="s">
        <v>18</v>
      </c>
      <c r="B21" s="51">
        <f t="shared" si="1"/>
        <v>0.1914743440308752</v>
      </c>
      <c r="C21" s="76">
        <f>'[3]Подрядч факт'!$AH$50</f>
        <v>1478.45</v>
      </c>
      <c r="D21" s="34"/>
      <c r="E21" s="51">
        <f t="shared" si="2"/>
        <v>0</v>
      </c>
      <c r="F21" s="76">
        <f>'[5]Подрядч факт'!$AH$52</f>
        <v>0</v>
      </c>
      <c r="G21" s="51">
        <f t="shared" si="3"/>
        <v>0.0957371720154376</v>
      </c>
      <c r="H21" s="75">
        <f aca="true" t="shared" si="4" ref="H21:H26">F21+C21</f>
        <v>1478.45</v>
      </c>
    </row>
    <row r="22" spans="1:8" ht="12.75">
      <c r="A22" s="10" t="s">
        <v>35</v>
      </c>
      <c r="B22" s="51">
        <f t="shared" si="1"/>
        <v>0</v>
      </c>
      <c r="C22" s="77">
        <f>'[3]Подрядч факт'!$AN$50</f>
        <v>0</v>
      </c>
      <c r="D22" s="34"/>
      <c r="E22" s="51">
        <f t="shared" si="2"/>
        <v>0.016318284248970392</v>
      </c>
      <c r="F22" s="77">
        <f>'[5]Подрядч факт'!$AN$52</f>
        <v>126</v>
      </c>
      <c r="G22" s="51">
        <f t="shared" si="3"/>
        <v>0.008159142124485196</v>
      </c>
      <c r="H22" s="75">
        <f t="shared" si="4"/>
        <v>126</v>
      </c>
    </row>
    <row r="23" spans="1:8" ht="13.5" customHeight="1">
      <c r="A23" s="10" t="s">
        <v>41</v>
      </c>
      <c r="B23" s="51">
        <f t="shared" si="1"/>
        <v>0.008159142124485196</v>
      </c>
      <c r="C23" s="76">
        <f>'[3]Подрядч факт'!$AS$50</f>
        <v>63</v>
      </c>
      <c r="D23" s="34"/>
      <c r="E23" s="51">
        <f t="shared" si="2"/>
        <v>0</v>
      </c>
      <c r="F23" s="76">
        <f>'[5]Подрядч факт'!$AS$52</f>
        <v>0</v>
      </c>
      <c r="G23" s="51">
        <f t="shared" si="3"/>
        <v>0.004079571062242598</v>
      </c>
      <c r="H23" s="75">
        <f t="shared" si="4"/>
        <v>63</v>
      </c>
    </row>
    <row r="24" spans="1:8" ht="25.5">
      <c r="A24" s="10" t="s">
        <v>50</v>
      </c>
      <c r="B24" s="51">
        <f t="shared" si="1"/>
        <v>0.635</v>
      </c>
      <c r="C24" s="54">
        <f>'[1]Подрядч'!$L$50*C15</f>
        <v>4903.089</v>
      </c>
      <c r="D24" s="34"/>
      <c r="E24" s="51">
        <f t="shared" si="2"/>
        <v>0.635</v>
      </c>
      <c r="F24" s="54">
        <f>'[1]Подрядч'!$L$50*F15</f>
        <v>4903.089</v>
      </c>
      <c r="G24" s="51">
        <f t="shared" si="3"/>
        <v>0.635</v>
      </c>
      <c r="H24" s="76">
        <f t="shared" si="4"/>
        <v>9806.178</v>
      </c>
    </row>
    <row r="25" spans="1:8" ht="25.5">
      <c r="A25" s="10" t="s">
        <v>15</v>
      </c>
      <c r="B25" s="51">
        <f t="shared" si="1"/>
        <v>0.35999999999999993</v>
      </c>
      <c r="C25" s="54">
        <f>'[1]Подрядч'!$M$50*C15</f>
        <v>2779.7039999999997</v>
      </c>
      <c r="D25" s="34"/>
      <c r="E25" s="51">
        <f t="shared" si="2"/>
        <v>0.35999999999999993</v>
      </c>
      <c r="F25" s="54">
        <f>'[1]Подрядч'!$M$50*F15</f>
        <v>2779.7039999999997</v>
      </c>
      <c r="G25" s="51">
        <f t="shared" si="3"/>
        <v>0.35999999999999993</v>
      </c>
      <c r="H25" s="76">
        <f t="shared" si="4"/>
        <v>5559.407999999999</v>
      </c>
    </row>
    <row r="26" spans="1:8" ht="26.25" thickBot="1">
      <c r="A26" s="37" t="s">
        <v>16</v>
      </c>
      <c r="B26" s="45">
        <f t="shared" si="1"/>
        <v>0.21880000000000002</v>
      </c>
      <c r="C26" s="55">
        <f>'[1]Подрядч'!$P$50*C15</f>
        <v>1689.44232</v>
      </c>
      <c r="D26" s="36"/>
      <c r="E26" s="45">
        <f t="shared" si="2"/>
        <v>0.24</v>
      </c>
      <c r="F26" s="55">
        <f>'[5]Подрядч'!$R$57*F15</f>
        <v>1853.136</v>
      </c>
      <c r="G26" s="51">
        <f t="shared" si="3"/>
        <v>0.22939999999999997</v>
      </c>
      <c r="H26" s="76">
        <f t="shared" si="4"/>
        <v>3542.57832</v>
      </c>
    </row>
    <row r="27" spans="1:8" ht="38.25" customHeight="1" thickBot="1">
      <c r="A27" s="40" t="s">
        <v>68</v>
      </c>
      <c r="B27" s="13">
        <f>C27/C15/B14</f>
        <v>7.956353760899741</v>
      </c>
      <c r="C27" s="56">
        <f>C28+C39+C64</f>
        <v>61434.189929411266</v>
      </c>
      <c r="D27" s="41">
        <f>D28+D39+D64</f>
        <v>30531.094729411267</v>
      </c>
      <c r="E27" s="99">
        <f>F27/F15/E14</f>
        <v>10.79986578843785</v>
      </c>
      <c r="F27" s="100">
        <f>F28+F39+F64</f>
        <v>83390.08369884403</v>
      </c>
      <c r="G27" s="99">
        <f>H27/H15/G14</f>
        <v>9.378109774668795</v>
      </c>
      <c r="H27" s="100">
        <f>H28+H39+H64</f>
        <v>144824.2736282553</v>
      </c>
    </row>
    <row r="28" spans="1:8" ht="13.5" thickBot="1">
      <c r="A28" s="38" t="s">
        <v>2</v>
      </c>
      <c r="B28" s="69">
        <f>C28/B14/C15</f>
        <v>1.4699020902945064</v>
      </c>
      <c r="C28" s="70">
        <f>SUM(C29:C32)</f>
        <v>11349.702000000001</v>
      </c>
      <c r="D28" s="91">
        <f>SUM(D29:D36)</f>
        <v>0</v>
      </c>
      <c r="E28" s="110">
        <f>F28/E14/F15</f>
        <v>2.047938074014967</v>
      </c>
      <c r="F28" s="111">
        <f>SUM(F29:F32)</f>
        <v>15812.949044699166</v>
      </c>
      <c r="G28" s="134">
        <f>H28/G14/H15</f>
        <v>1.7589200821547368</v>
      </c>
      <c r="H28" s="135">
        <f>SUM(H29:H32)</f>
        <v>27162.65104469917</v>
      </c>
    </row>
    <row r="29" spans="1:8" ht="12.75" hidden="1">
      <c r="A29" s="12" t="s">
        <v>3</v>
      </c>
      <c r="B29" s="51">
        <f>'[1]МУП'!$R$50</f>
        <v>0.6000000000000001</v>
      </c>
      <c r="C29" s="54">
        <f>B29*$B$14*$C$15</f>
        <v>4632.840000000001</v>
      </c>
      <c r="D29" s="92"/>
      <c r="E29" s="112">
        <f>'[5]МУП'!$V$57</f>
        <v>0.7357128363614084</v>
      </c>
      <c r="F29" s="89">
        <f>E29*$B$14*$C$15</f>
        <v>5680.73309468098</v>
      </c>
      <c r="G29" s="51">
        <f>H29/$H$15/$G$14</f>
        <v>0.6678564181807043</v>
      </c>
      <c r="H29" s="76">
        <f>F29+C29</f>
        <v>10313.573094680982</v>
      </c>
    </row>
    <row r="30" spans="1:8" s="5" customFormat="1" ht="12.75" hidden="1">
      <c r="A30" s="15" t="s">
        <v>27</v>
      </c>
      <c r="B30" s="51">
        <f>B29*20%</f>
        <v>0.12000000000000002</v>
      </c>
      <c r="C30" s="54">
        <f>B30*$B$14*$C$15</f>
        <v>926.5680000000003</v>
      </c>
      <c r="D30" s="93"/>
      <c r="E30" s="112">
        <f>E29*20%</f>
        <v>0.14714256727228167</v>
      </c>
      <c r="F30" s="89">
        <f>E30*$B$14*$C$15</f>
        <v>1136.1466189361956</v>
      </c>
      <c r="G30" s="51">
        <f>H30/$H$15/$G$14</f>
        <v>0.13357128363614085</v>
      </c>
      <c r="H30" s="76">
        <f>F30+C30</f>
        <v>2062.714618936196</v>
      </c>
    </row>
    <row r="31" spans="1:8" s="5" customFormat="1" ht="12.75" hidden="1">
      <c r="A31" s="15" t="s">
        <v>11</v>
      </c>
      <c r="B31" s="51">
        <f>C31/C15/B14</f>
        <v>0.03990209029450618</v>
      </c>
      <c r="C31" s="54">
        <f>'[4]мат-лы год'!$O$56</f>
        <v>308.1</v>
      </c>
      <c r="D31" s="93"/>
      <c r="E31" s="112">
        <f>F31/F15/E14</f>
        <v>0.10999689175538115</v>
      </c>
      <c r="F31" s="89">
        <f>'[6]мат-лы год'!$O$56</f>
        <v>849.33</v>
      </c>
      <c r="G31" s="51">
        <f>H31/$H$15/$G$14</f>
        <v>0.07494949102494365</v>
      </c>
      <c r="H31" s="76">
        <f>F31+C31</f>
        <v>1157.43</v>
      </c>
    </row>
    <row r="32" spans="1:8" ht="12.75" hidden="1">
      <c r="A32" s="12" t="s">
        <v>28</v>
      </c>
      <c r="B32" s="51">
        <f>'[1]МУП'!$X$50</f>
        <v>0.71</v>
      </c>
      <c r="C32" s="54">
        <f>B32*$B$14*$C$15</f>
        <v>5482.194</v>
      </c>
      <c r="D32" s="94"/>
      <c r="E32" s="112">
        <f>'[5]МУП'!$AB$57+'[5]МУП'!$AD$57+'[5]МУП'!$AH$57</f>
        <v>1.0550857786258958</v>
      </c>
      <c r="F32" s="89">
        <f>E32*$B$14*$C$15</f>
        <v>8146.739331081992</v>
      </c>
      <c r="G32" s="51">
        <f>H32/$H$15/$G$14</f>
        <v>0.882542889312948</v>
      </c>
      <c r="H32" s="76">
        <f>F32+C32</f>
        <v>13628.933331081993</v>
      </c>
    </row>
    <row r="33" spans="1:8" ht="13.5" customHeight="1">
      <c r="A33" s="145" t="s">
        <v>60</v>
      </c>
      <c r="B33" s="146"/>
      <c r="C33" s="147"/>
      <c r="D33" s="94"/>
      <c r="E33" s="113"/>
      <c r="F33" s="103"/>
      <c r="G33" s="103"/>
      <c r="H33" s="114"/>
    </row>
    <row r="34" spans="1:8" ht="26.25" customHeight="1">
      <c r="A34" s="18" t="s">
        <v>61</v>
      </c>
      <c r="B34" s="19"/>
      <c r="C34" s="57"/>
      <c r="D34" s="94"/>
      <c r="E34" s="115"/>
      <c r="F34" s="104"/>
      <c r="G34" s="104"/>
      <c r="H34" s="116"/>
    </row>
    <row r="35" spans="1:8" ht="13.5" customHeight="1">
      <c r="A35" s="18" t="s">
        <v>62</v>
      </c>
      <c r="B35" s="19"/>
      <c r="C35" s="57"/>
      <c r="D35" s="94"/>
      <c r="E35" s="115"/>
      <c r="F35" s="104"/>
      <c r="G35" s="104"/>
      <c r="H35" s="116"/>
    </row>
    <row r="36" spans="1:8" ht="13.5" customHeight="1">
      <c r="A36" s="18" t="s">
        <v>64</v>
      </c>
      <c r="B36" s="19"/>
      <c r="C36" s="57"/>
      <c r="D36" s="95"/>
      <c r="E36" s="115"/>
      <c r="F36" s="104"/>
      <c r="G36" s="104"/>
      <c r="H36" s="116"/>
    </row>
    <row r="37" spans="1:8" ht="13.5" customHeight="1">
      <c r="A37" s="18" t="s">
        <v>65</v>
      </c>
      <c r="B37" s="19"/>
      <c r="C37" s="57"/>
      <c r="D37" s="131"/>
      <c r="E37" s="115"/>
      <c r="F37" s="104"/>
      <c r="G37" s="104"/>
      <c r="H37" s="116"/>
    </row>
    <row r="38" spans="1:8" ht="13.5" customHeight="1" thickBot="1">
      <c r="A38" s="18" t="s">
        <v>66</v>
      </c>
      <c r="B38" s="19"/>
      <c r="C38" s="57"/>
      <c r="D38" s="131"/>
      <c r="E38" s="115"/>
      <c r="F38" s="104"/>
      <c r="G38" s="104"/>
      <c r="H38" s="116"/>
    </row>
    <row r="39" spans="1:8" ht="13.5" thickBot="1">
      <c r="A39" s="11" t="s">
        <v>4</v>
      </c>
      <c r="B39" s="67">
        <f>C39/B14/C15</f>
        <v>2.5550487217344005</v>
      </c>
      <c r="C39" s="68">
        <f>SUM(C40:C43)</f>
        <v>19728.553200000002</v>
      </c>
      <c r="D39" s="96">
        <f>SUM(D40:D62)</f>
        <v>175.16</v>
      </c>
      <c r="E39" s="117">
        <f>F39/E14/F15</f>
        <v>3.3716157724673153</v>
      </c>
      <c r="F39" s="90">
        <f>SUM(F40:F43)</f>
        <v>26033.594025529128</v>
      </c>
      <c r="G39" s="132">
        <f>H39/G14/H15</f>
        <v>2.963332247100858</v>
      </c>
      <c r="H39" s="133">
        <f>SUM(H40:H43)</f>
        <v>45762.14722552913</v>
      </c>
    </row>
    <row r="40" spans="1:8" ht="12.75" hidden="1">
      <c r="A40" s="12" t="s">
        <v>3</v>
      </c>
      <c r="B40" s="51">
        <f>'[1]МУП'!$AH$50</f>
        <v>1.04</v>
      </c>
      <c r="C40" s="58">
        <f>B40*$B$14*$C$15</f>
        <v>8030.256000000001</v>
      </c>
      <c r="D40" s="92"/>
      <c r="E40" s="112">
        <f>'[5]МУП'!$AZ$57</f>
        <v>1.267135571223691</v>
      </c>
      <c r="F40" s="105">
        <f>E40*$B$14*$C$15</f>
        <v>9784.060599646607</v>
      </c>
      <c r="G40" s="51">
        <f>H40/$H$15/$G$14</f>
        <v>1.1535677856118456</v>
      </c>
      <c r="H40" s="76">
        <f>F40+C40</f>
        <v>17814.31659964661</v>
      </c>
    </row>
    <row r="41" spans="1:8" s="5" customFormat="1" ht="12.75" hidden="1">
      <c r="A41" s="15" t="s">
        <v>27</v>
      </c>
      <c r="B41" s="51">
        <f>B40*20%</f>
        <v>0.20800000000000002</v>
      </c>
      <c r="C41" s="58">
        <f>B41*$B$14*$C$15</f>
        <v>1606.0512</v>
      </c>
      <c r="D41" s="93"/>
      <c r="E41" s="112">
        <f>E40*20%</f>
        <v>0.2534271142447382</v>
      </c>
      <c r="F41" s="105">
        <f>E41*$B$14*$C$15</f>
        <v>1956.8121199293214</v>
      </c>
      <c r="G41" s="51">
        <f>H41/$H$15/$G$14</f>
        <v>0.23071355712236907</v>
      </c>
      <c r="H41" s="76">
        <f>F41+C41</f>
        <v>3562.8633199293217</v>
      </c>
    </row>
    <row r="42" spans="1:8" s="5" customFormat="1" ht="12.75" hidden="1">
      <c r="A42" s="15" t="s">
        <v>11</v>
      </c>
      <c r="B42" s="51">
        <f>C42/C15/B14</f>
        <v>0.0670487217344005</v>
      </c>
      <c r="C42" s="58">
        <f>'[4]мат-лы год'!$P$56</f>
        <v>517.71</v>
      </c>
      <c r="D42" s="93"/>
      <c r="E42" s="112">
        <f>F42/F15/E14</f>
        <v>0.033853964306990954</v>
      </c>
      <c r="F42" s="105">
        <f>'[6]мат-лы год'!$P$56</f>
        <v>261.4</v>
      </c>
      <c r="G42" s="51">
        <f>H42/$H$15/$G$14</f>
        <v>0.050451343020695726</v>
      </c>
      <c r="H42" s="76">
        <f>F42+C42</f>
        <v>779.11</v>
      </c>
    </row>
    <row r="43" spans="1:8" ht="12.75" hidden="1">
      <c r="A43" s="12" t="s">
        <v>28</v>
      </c>
      <c r="B43" s="51">
        <f>'[1]МУП'!$AN$50</f>
        <v>1.24</v>
      </c>
      <c r="C43" s="58">
        <f>B43*$B$14*$C$15</f>
        <v>9574.536</v>
      </c>
      <c r="D43" s="94"/>
      <c r="E43" s="112">
        <f>'[5]МУП'!$BF$57+'[5]МУП'!$BH$57+'[5]МУП'!$BL$57</f>
        <v>1.8171991226918953</v>
      </c>
      <c r="F43" s="105">
        <f>E43*$B$14*$C$15</f>
        <v>14031.3213059532</v>
      </c>
      <c r="G43" s="51">
        <f>H43/$H$15/$G$14</f>
        <v>1.5285995613459475</v>
      </c>
      <c r="H43" s="76">
        <f>F43+C43</f>
        <v>23605.8573059532</v>
      </c>
    </row>
    <row r="44" spans="1:8" ht="12.75">
      <c r="A44" s="143" t="s">
        <v>19</v>
      </c>
      <c r="B44" s="144"/>
      <c r="C44" s="141"/>
      <c r="D44" s="94"/>
      <c r="E44" s="113"/>
      <c r="F44" s="103"/>
      <c r="G44" s="103"/>
      <c r="H44" s="114"/>
    </row>
    <row r="45" spans="1:8" ht="12.75">
      <c r="A45" s="136" t="s">
        <v>63</v>
      </c>
      <c r="B45" s="137"/>
      <c r="C45" s="138"/>
      <c r="D45" s="94"/>
      <c r="E45" s="113"/>
      <c r="F45" s="103"/>
      <c r="G45" s="103"/>
      <c r="H45" s="114"/>
    </row>
    <row r="46" spans="1:8" ht="12.75" hidden="1">
      <c r="A46" s="31"/>
      <c r="B46" s="32"/>
      <c r="C46" s="60"/>
      <c r="D46" s="94"/>
      <c r="E46" s="31"/>
      <c r="F46" s="106"/>
      <c r="G46" s="106"/>
      <c r="H46" s="118"/>
    </row>
    <row r="47" spans="1:8" ht="12.75" hidden="1">
      <c r="A47" s="64"/>
      <c r="B47" s="32"/>
      <c r="C47" s="60"/>
      <c r="D47" s="94"/>
      <c r="E47" s="31"/>
      <c r="F47" s="106"/>
      <c r="G47" s="106"/>
      <c r="H47" s="118"/>
    </row>
    <row r="48" spans="1:8" ht="12.75" hidden="1">
      <c r="A48" s="64"/>
      <c r="B48" s="32"/>
      <c r="C48" s="60"/>
      <c r="D48" s="94"/>
      <c r="E48" s="31"/>
      <c r="F48" s="106"/>
      <c r="G48" s="106"/>
      <c r="H48" s="118"/>
    </row>
    <row r="49" spans="1:8" ht="12.75" hidden="1">
      <c r="A49" s="64"/>
      <c r="B49" s="32"/>
      <c r="C49" s="60"/>
      <c r="D49" s="94"/>
      <c r="E49" s="31"/>
      <c r="F49" s="106"/>
      <c r="G49" s="106"/>
      <c r="H49" s="118"/>
    </row>
    <row r="50" spans="1:8" ht="12.75" hidden="1">
      <c r="A50" s="143" t="s">
        <v>20</v>
      </c>
      <c r="B50" s="144"/>
      <c r="C50" s="141"/>
      <c r="D50" s="94"/>
      <c r="E50" s="113"/>
      <c r="F50" s="103"/>
      <c r="G50" s="103"/>
      <c r="H50" s="114"/>
    </row>
    <row r="51" spans="1:8" ht="12.75" hidden="1">
      <c r="A51" s="155"/>
      <c r="B51" s="156"/>
      <c r="C51" s="157"/>
      <c r="D51" s="94"/>
      <c r="E51" s="113"/>
      <c r="F51" s="103"/>
      <c r="G51" s="103"/>
      <c r="H51" s="114"/>
    </row>
    <row r="52" spans="1:8" ht="12.75" hidden="1">
      <c r="A52" s="24"/>
      <c r="B52" s="25"/>
      <c r="C52" s="61"/>
      <c r="D52" s="94"/>
      <c r="E52" s="24"/>
      <c r="F52" s="107"/>
      <c r="G52" s="107"/>
      <c r="H52" s="119"/>
    </row>
    <row r="53" spans="1:8" ht="12.75" hidden="1">
      <c r="A53" s="24"/>
      <c r="B53" s="25"/>
      <c r="C53" s="61"/>
      <c r="D53" s="94"/>
      <c r="E53" s="24"/>
      <c r="F53" s="107"/>
      <c r="G53" s="107"/>
      <c r="H53" s="119"/>
    </row>
    <row r="54" spans="1:8" ht="12.75">
      <c r="A54" s="143" t="s">
        <v>36</v>
      </c>
      <c r="B54" s="144"/>
      <c r="C54" s="141"/>
      <c r="D54" s="94"/>
      <c r="E54" s="113"/>
      <c r="F54" s="103"/>
      <c r="G54" s="103"/>
      <c r="H54" s="114"/>
    </row>
    <row r="55" spans="1:8" s="30" customFormat="1" ht="12.75">
      <c r="A55" s="28" t="s">
        <v>59</v>
      </c>
      <c r="B55" s="29"/>
      <c r="C55" s="62"/>
      <c r="D55" s="97"/>
      <c r="E55" s="28"/>
      <c r="F55" s="108"/>
      <c r="G55" s="108"/>
      <c r="H55" s="120"/>
    </row>
    <row r="56" spans="1:8" s="30" customFormat="1" ht="12.75" hidden="1">
      <c r="A56" s="28"/>
      <c r="B56" s="29"/>
      <c r="C56" s="62"/>
      <c r="D56" s="97"/>
      <c r="E56" s="28"/>
      <c r="F56" s="108"/>
      <c r="G56" s="108"/>
      <c r="H56" s="120"/>
    </row>
    <row r="57" spans="1:8" ht="12.75" hidden="1">
      <c r="A57" s="136"/>
      <c r="B57" s="137"/>
      <c r="C57" s="138"/>
      <c r="D57" s="94"/>
      <c r="E57" s="113"/>
      <c r="F57" s="103"/>
      <c r="G57" s="103"/>
      <c r="H57" s="114"/>
    </row>
    <row r="58" spans="1:8" ht="12.75" hidden="1">
      <c r="A58" s="136"/>
      <c r="B58" s="137"/>
      <c r="C58" s="138"/>
      <c r="D58" s="94"/>
      <c r="E58" s="113"/>
      <c r="F58" s="103"/>
      <c r="G58" s="103"/>
      <c r="H58" s="114"/>
    </row>
    <row r="59" spans="1:8" ht="12.75">
      <c r="A59" s="139" t="s">
        <v>21</v>
      </c>
      <c r="B59" s="140"/>
      <c r="C59" s="141"/>
      <c r="D59" s="94">
        <f>175.16</f>
        <v>175.16</v>
      </c>
      <c r="E59" s="113"/>
      <c r="F59" s="103"/>
      <c r="G59" s="103"/>
      <c r="H59" s="114"/>
    </row>
    <row r="60" spans="1:8" ht="12.75">
      <c r="A60" s="27" t="s">
        <v>67</v>
      </c>
      <c r="B60" s="26"/>
      <c r="C60" s="59"/>
      <c r="D60" s="94"/>
      <c r="E60" s="86"/>
      <c r="F60" s="109"/>
      <c r="G60" s="109"/>
      <c r="H60" s="121"/>
    </row>
    <row r="61" spans="1:8" ht="12.75" hidden="1">
      <c r="A61" s="27"/>
      <c r="B61" s="26"/>
      <c r="C61" s="59"/>
      <c r="D61" s="94"/>
      <c r="E61" s="86"/>
      <c r="F61" s="109"/>
      <c r="G61" s="109"/>
      <c r="H61" s="121"/>
    </row>
    <row r="62" spans="1:8" ht="12.75" hidden="1">
      <c r="A62" s="27"/>
      <c r="B62" s="26"/>
      <c r="C62" s="59"/>
      <c r="D62" s="94"/>
      <c r="E62" s="86"/>
      <c r="F62" s="109"/>
      <c r="G62" s="109"/>
      <c r="H62" s="121"/>
    </row>
    <row r="63" spans="1:8" ht="12.75" hidden="1">
      <c r="A63" s="27"/>
      <c r="B63" s="26"/>
      <c r="C63" s="59"/>
      <c r="D63" s="94"/>
      <c r="E63" s="86"/>
      <c r="F63" s="109"/>
      <c r="G63" s="109"/>
      <c r="H63" s="121"/>
    </row>
    <row r="64" spans="1:8" ht="12.75">
      <c r="A64" s="11" t="s">
        <v>5</v>
      </c>
      <c r="B64" s="67">
        <f>C64/B14/C15</f>
        <v>3.9314029488708346</v>
      </c>
      <c r="C64" s="68">
        <f>SUM(C65:C68)</f>
        <v>30355.934729411267</v>
      </c>
      <c r="D64" s="98">
        <f>SUM(C64)</f>
        <v>30355.934729411267</v>
      </c>
      <c r="E64" s="117">
        <f>F64/E14/F15</f>
        <v>5.380311941955569</v>
      </c>
      <c r="F64" s="90">
        <f>SUM(F65:F68)</f>
        <v>41543.54062861574</v>
      </c>
      <c r="G64" s="132">
        <f>H64/G14/H15</f>
        <v>4.655857445413202</v>
      </c>
      <c r="H64" s="133">
        <f>SUM(H65:H68)</f>
        <v>71899.47535802699</v>
      </c>
    </row>
    <row r="65" spans="1:8" ht="12.75" hidden="1">
      <c r="A65" s="12" t="s">
        <v>29</v>
      </c>
      <c r="B65" s="51">
        <f>'[2]МУП'!$BC$50</f>
        <v>1.5891764785159885</v>
      </c>
      <c r="C65" s="58">
        <f>B65*$B$14*$C$15</f>
        <v>12270.667261213355</v>
      </c>
      <c r="D65" s="94"/>
      <c r="E65" s="112">
        <f>'[5]МУП'!$BW$57</f>
        <v>1.9933487714061693</v>
      </c>
      <c r="F65" s="105">
        <f>E65*$B$14*$C$15</f>
        <v>15391.443203535597</v>
      </c>
      <c r="G65" s="51">
        <f>H65/$H$15/$G$14</f>
        <v>1.7912626249610788</v>
      </c>
      <c r="H65" s="76">
        <f>F65+C65</f>
        <v>27662.110464748952</v>
      </c>
    </row>
    <row r="66" spans="1:8" ht="12.75" hidden="1">
      <c r="A66" s="15" t="s">
        <v>27</v>
      </c>
      <c r="B66" s="51">
        <f>B65*20%</f>
        <v>0.31783529570319774</v>
      </c>
      <c r="C66" s="58">
        <f>B66*$B$14*$C$15</f>
        <v>2454.133452242671</v>
      </c>
      <c r="D66" s="94"/>
      <c r="E66" s="112">
        <f>E65*20%</f>
        <v>0.39866975428123386</v>
      </c>
      <c r="F66" s="105">
        <f>E66*$B$14*$C$15</f>
        <v>3078.288640707119</v>
      </c>
      <c r="G66" s="51">
        <f>H66/$H$15/$G$14</f>
        <v>0.35825252499221577</v>
      </c>
      <c r="H66" s="76">
        <f>F66+C66</f>
        <v>5532.42209294979</v>
      </c>
    </row>
    <row r="67" spans="1:8" ht="12.75" hidden="1">
      <c r="A67" s="15" t="s">
        <v>11</v>
      </c>
      <c r="B67" s="51">
        <f>C67/C15/B14</f>
        <v>0.0713017109517648</v>
      </c>
      <c r="C67" s="58">
        <f>'[4]мат-лы год'!$Q$56</f>
        <v>550.5490309429567</v>
      </c>
      <c r="D67" s="94"/>
      <c r="E67" s="112">
        <f>F67/F15/E14</f>
        <v>0.13860201266590652</v>
      </c>
      <c r="F67" s="105">
        <f>'[6]мат-лы год'!$Q$56</f>
        <v>1070.2015805985307</v>
      </c>
      <c r="G67" s="51">
        <f>H67/$H$15/$G$14</f>
        <v>0.10495186180883564</v>
      </c>
      <c r="H67" s="76">
        <f>F67+C67</f>
        <v>1620.7506115414874</v>
      </c>
    </row>
    <row r="68" spans="1:8" ht="12.75" hidden="1">
      <c r="A68" s="12" t="s">
        <v>28</v>
      </c>
      <c r="B68" s="51">
        <f>'[2]МУП'!$BJ$50</f>
        <v>1.9530894636998835</v>
      </c>
      <c r="C68" s="58">
        <f>B68*$B$14*$C$15</f>
        <v>15080.584985012281</v>
      </c>
      <c r="D68" s="94"/>
      <c r="E68" s="112">
        <f>'[5]МУП'!$CD$57+'[5]МУП'!$CF$57+'[5]МУП'!$CJ$57</f>
        <v>2.849691403602259</v>
      </c>
      <c r="F68" s="105">
        <f>E68*$B$14*$C$15</f>
        <v>22003.607203774485</v>
      </c>
      <c r="G68" s="51">
        <f>H68/$H$15/$G$14</f>
        <v>2.401390433651071</v>
      </c>
      <c r="H68" s="76">
        <f>F68+C68</f>
        <v>37084.192188786765</v>
      </c>
    </row>
    <row r="69" spans="1:8" ht="12.75">
      <c r="A69" s="152" t="s">
        <v>22</v>
      </c>
      <c r="B69" s="153"/>
      <c r="C69" s="154"/>
      <c r="D69" s="94"/>
      <c r="E69" s="113"/>
      <c r="F69" s="103"/>
      <c r="G69" s="103"/>
      <c r="H69" s="114"/>
    </row>
    <row r="70" spans="1:8" ht="12.75">
      <c r="A70" s="152" t="s">
        <v>23</v>
      </c>
      <c r="B70" s="153"/>
      <c r="C70" s="154"/>
      <c r="D70" s="94"/>
      <c r="E70" s="113"/>
      <c r="F70" s="103"/>
      <c r="G70" s="103"/>
      <c r="H70" s="114"/>
    </row>
    <row r="71" spans="1:8" ht="12.75">
      <c r="A71" s="152" t="s">
        <v>24</v>
      </c>
      <c r="B71" s="153"/>
      <c r="C71" s="154"/>
      <c r="D71" s="94"/>
      <c r="E71" s="113"/>
      <c r="F71" s="103"/>
      <c r="G71" s="103"/>
      <c r="H71" s="114"/>
    </row>
    <row r="72" spans="1:8" ht="12.75">
      <c r="A72" s="42" t="s">
        <v>38</v>
      </c>
      <c r="B72" s="43"/>
      <c r="C72" s="63"/>
      <c r="D72" s="94"/>
      <c r="E72" s="24"/>
      <c r="F72" s="107"/>
      <c r="G72" s="107"/>
      <c r="H72" s="119"/>
    </row>
    <row r="73" spans="1:8" ht="13.5" customHeight="1">
      <c r="A73" s="42" t="s">
        <v>39</v>
      </c>
      <c r="B73" s="43"/>
      <c r="C73" s="63"/>
      <c r="D73" s="94"/>
      <c r="E73" s="24"/>
      <c r="F73" s="107"/>
      <c r="G73" s="107"/>
      <c r="H73" s="119"/>
    </row>
    <row r="74" spans="1:8" ht="12.75">
      <c r="A74" s="42" t="s">
        <v>40</v>
      </c>
      <c r="B74" s="43"/>
      <c r="C74" s="63"/>
      <c r="D74" s="94"/>
      <c r="E74" s="24"/>
      <c r="F74" s="107"/>
      <c r="G74" s="107"/>
      <c r="H74" s="119"/>
    </row>
    <row r="75" spans="1:8" ht="13.5" thickBot="1">
      <c r="A75" s="149"/>
      <c r="B75" s="150"/>
      <c r="C75" s="151"/>
      <c r="D75" s="94"/>
      <c r="E75" s="122"/>
      <c r="F75" s="123"/>
      <c r="G75" s="123"/>
      <c r="H75" s="124"/>
    </row>
    <row r="76" spans="1:8" s="1" customFormat="1" ht="13.5" thickBot="1">
      <c r="A76" s="14" t="s">
        <v>1</v>
      </c>
      <c r="B76" s="13">
        <f>B17+B18+B27</f>
        <v>11.578606583851538</v>
      </c>
      <c r="C76" s="56">
        <f>C27+C18+C17</f>
        <v>89403.05287655127</v>
      </c>
      <c r="D76" s="35"/>
      <c r="E76" s="101">
        <f>E17+E18+E27</f>
        <v>12.590778524470176</v>
      </c>
      <c r="F76" s="102">
        <f>F27+F18+F17</f>
        <v>97218.43729884403</v>
      </c>
      <c r="G76" s="101">
        <f>G17+G18+G27</f>
        <v>12.084692554160856</v>
      </c>
      <c r="H76" s="102">
        <f>H27+H18+H17</f>
        <v>186621.4901753953</v>
      </c>
    </row>
    <row r="77" spans="1:8" ht="13.5" hidden="1" thickBot="1">
      <c r="A77" s="4"/>
      <c r="B77" s="46"/>
      <c r="C77" s="47"/>
      <c r="E77" s="46"/>
      <c r="F77" s="47"/>
      <c r="G77" s="46"/>
      <c r="H77" s="47"/>
    </row>
    <row r="78" spans="1:8" s="1" customFormat="1" ht="13.5" hidden="1" thickBot="1">
      <c r="A78" s="3" t="s">
        <v>1</v>
      </c>
      <c r="B78" s="51" t="e">
        <f>SUM(B79:B80)</f>
        <v>#DIV/0!</v>
      </c>
      <c r="C78" s="51">
        <f>SUM(C79:C80)</f>
        <v>46908.21326121336</v>
      </c>
      <c r="E78" s="51">
        <f>SUM(E79:E80)</f>
        <v>3237514.8080409593</v>
      </c>
      <c r="F78" s="51">
        <f>SUM(F79:F80)</f>
        <v>52830.68689786318</v>
      </c>
      <c r="G78" s="51">
        <f>SUM(G79:G80)</f>
        <v>9530959.134258632</v>
      </c>
      <c r="H78" s="51">
        <f>SUM(H79:H80)</f>
        <v>77764.45015907654</v>
      </c>
    </row>
    <row r="79" spans="1:8" ht="13.5" hidden="1" thickBot="1">
      <c r="A79" s="2" t="s">
        <v>6</v>
      </c>
      <c r="B79" s="51" t="e">
        <f>C79/B22</f>
        <v>#DIV/0!</v>
      </c>
      <c r="C79" s="51">
        <f>C29+C40+C65</f>
        <v>24933.763261213357</v>
      </c>
      <c r="E79" s="51">
        <f>F79/E22</f>
        <v>1890899.58399334</v>
      </c>
      <c r="F79" s="51">
        <f>F29+F40+F65</f>
        <v>30856.236897863186</v>
      </c>
      <c r="G79" s="51">
        <f>H79/G22</f>
        <v>6837728.686163392</v>
      </c>
      <c r="H79" s="51">
        <f>H29+H40+H65</f>
        <v>55790.000159076546</v>
      </c>
    </row>
    <row r="80" spans="1:8" ht="13.5" hidden="1" thickBot="1">
      <c r="A80" s="2" t="s">
        <v>7</v>
      </c>
      <c r="B80" s="51" t="e">
        <f>C80/B22</f>
        <v>#DIV/0!</v>
      </c>
      <c r="C80" s="51">
        <v>21974.45</v>
      </c>
      <c r="E80" s="51">
        <f>F80/E22</f>
        <v>1346615.2240476194</v>
      </c>
      <c r="F80" s="51">
        <v>21974.45</v>
      </c>
      <c r="G80" s="51">
        <f>H80/G22</f>
        <v>2693230.448095239</v>
      </c>
      <c r="H80" s="51">
        <v>21974.45</v>
      </c>
    </row>
    <row r="81" spans="1:8" ht="13.5" hidden="1" thickBot="1">
      <c r="A81" s="2"/>
      <c r="B81" s="48"/>
      <c r="C81" s="48"/>
      <c r="E81" s="48"/>
      <c r="F81" s="48"/>
      <c r="G81" s="48"/>
      <c r="H81" s="48"/>
    </row>
    <row r="82" spans="1:8" ht="13.5" hidden="1" thickBot="1">
      <c r="A82" s="2"/>
      <c r="B82" s="48"/>
      <c r="C82" s="48"/>
      <c r="E82" s="48"/>
      <c r="F82" s="48"/>
      <c r="G82" s="48"/>
      <c r="H82" s="48"/>
    </row>
    <row r="83" spans="1:8" ht="13.5" hidden="1" thickBot="1">
      <c r="A83" s="2" t="s">
        <v>9</v>
      </c>
      <c r="B83" s="48">
        <v>11.67</v>
      </c>
      <c r="C83" s="48"/>
      <c r="E83" s="48">
        <v>11.67</v>
      </c>
      <c r="F83" s="48"/>
      <c r="G83" s="48">
        <v>11.67</v>
      </c>
      <c r="H83" s="48"/>
    </row>
    <row r="84" spans="1:8" ht="13.5" hidden="1" thickBot="1">
      <c r="A84" s="2" t="s">
        <v>8</v>
      </c>
      <c r="B84" s="48">
        <v>1.7</v>
      </c>
      <c r="C84" s="48"/>
      <c r="E84" s="48">
        <v>1.7</v>
      </c>
      <c r="F84" s="48"/>
      <c r="G84" s="48">
        <v>1.7</v>
      </c>
      <c r="H84" s="48"/>
    </row>
    <row r="85" spans="1:8" ht="13.5" hidden="1" thickBot="1">
      <c r="A85" s="2" t="s">
        <v>0</v>
      </c>
      <c r="B85" s="51">
        <v>8.82</v>
      </c>
      <c r="C85" s="51"/>
      <c r="E85" s="51">
        <v>8.82</v>
      </c>
      <c r="F85" s="51"/>
      <c r="G85" s="51">
        <v>8.82</v>
      </c>
      <c r="H85" s="51"/>
    </row>
    <row r="86" spans="1:8" ht="13.5" hidden="1" thickBot="1">
      <c r="A86" s="66" t="s">
        <v>10</v>
      </c>
      <c r="B86" s="45">
        <f>B83-B84-B85</f>
        <v>1.1500000000000004</v>
      </c>
      <c r="C86" s="45"/>
      <c r="E86" s="45">
        <f>E83-E84-E85</f>
        <v>1.1500000000000004</v>
      </c>
      <c r="F86" s="45"/>
      <c r="G86" s="45">
        <f>G83-G84-G85</f>
        <v>1.1500000000000004</v>
      </c>
      <c r="H86" s="45"/>
    </row>
    <row r="87" spans="1:8" s="1" customFormat="1" ht="25.5" customHeight="1" thickBot="1">
      <c r="A87" s="127" t="s">
        <v>51</v>
      </c>
      <c r="B87" s="128">
        <f>C87/C15/B14</f>
        <v>0.14721682596420338</v>
      </c>
      <c r="C87" s="129">
        <v>1136.72</v>
      </c>
      <c r="D87" s="130"/>
      <c r="E87" s="128">
        <f>F87/F15/E14</f>
        <v>0</v>
      </c>
      <c r="F87" s="129"/>
      <c r="G87" s="128">
        <f>H87/H15/G14</f>
        <v>0.09181884114279794</v>
      </c>
      <c r="H87" s="129">
        <v>1417.94</v>
      </c>
    </row>
    <row r="88" spans="1:8" ht="27" customHeight="1" thickBot="1">
      <c r="A88" s="126" t="s">
        <v>58</v>
      </c>
      <c r="B88" s="101">
        <f>C88/C15/B14</f>
        <v>11.725823409815742</v>
      </c>
      <c r="C88" s="102">
        <f>C87+C76</f>
        <v>90539.77287655127</v>
      </c>
      <c r="E88" s="101">
        <f>F88/F15/E14</f>
        <v>12.590778524470178</v>
      </c>
      <c r="F88" s="102">
        <f>F87+F76</f>
        <v>97218.43729884403</v>
      </c>
      <c r="G88" s="101">
        <f>H88/H15/G14</f>
        <v>12.176511395303656</v>
      </c>
      <c r="H88" s="102">
        <f>H87+H76</f>
        <v>188039.4301753953</v>
      </c>
    </row>
    <row r="89" ht="12.75"/>
    <row r="90" spans="1:8" ht="15">
      <c r="A90" s="7" t="s">
        <v>55</v>
      </c>
      <c r="B90" s="7"/>
      <c r="C90" s="44"/>
      <c r="E90" s="7"/>
      <c r="F90" s="44"/>
      <c r="G90" s="7"/>
      <c r="H90" s="44">
        <f>G12+G8-H88</f>
        <v>9274.599824604666</v>
      </c>
    </row>
    <row r="91" spans="1:8" ht="21" customHeight="1">
      <c r="A91" s="65" t="s">
        <v>43</v>
      </c>
      <c r="H91" s="50">
        <f>720+720</f>
        <v>1440</v>
      </c>
    </row>
    <row r="92" spans="1:8" ht="14.25" customHeight="1">
      <c r="A92" s="87" t="s">
        <v>52</v>
      </c>
      <c r="B92" s="30"/>
      <c r="C92" s="30"/>
      <c r="E92" s="30"/>
      <c r="F92" s="30"/>
      <c r="G92" s="30"/>
      <c r="H92" s="30">
        <v>750.96</v>
      </c>
    </row>
    <row r="93" ht="12.75"/>
    <row r="94" spans="1:8" ht="12.75">
      <c r="A94" s="1" t="s">
        <v>26</v>
      </c>
      <c r="B94" s="1"/>
      <c r="C94" s="1"/>
      <c r="E94" s="1"/>
      <c r="F94" s="1"/>
      <c r="G94" s="1"/>
      <c r="H94" s="1" t="s">
        <v>42</v>
      </c>
    </row>
    <row r="95" spans="1:8" ht="12.75">
      <c r="A95" s="1"/>
      <c r="C95" s="1"/>
      <c r="F95" s="1"/>
      <c r="H95" s="1"/>
    </row>
    <row r="96" spans="3:8" ht="12.75">
      <c r="C96" s="1"/>
      <c r="F96" s="1"/>
      <c r="H96" s="1"/>
    </row>
    <row r="97" spans="3:8" ht="12.75">
      <c r="C97" s="1"/>
      <c r="F97" s="1"/>
      <c r="H97" s="1"/>
    </row>
    <row r="98" spans="1:8" ht="12.75">
      <c r="A98" s="1" t="s">
        <v>30</v>
      </c>
      <c r="C98" s="1"/>
      <c r="F98" s="1"/>
      <c r="H98" s="1" t="s">
        <v>34</v>
      </c>
    </row>
    <row r="99" spans="1:6" ht="12.75">
      <c r="A99" s="1"/>
      <c r="C99" s="1"/>
      <c r="F99" s="1"/>
    </row>
    <row r="102" ht="12.75"/>
    <row r="103" ht="12.75"/>
    <row r="104" ht="12.75"/>
    <row r="105" ht="12.75"/>
    <row r="106" ht="12.75"/>
  </sheetData>
  <sheetProtection/>
  <mergeCells count="17">
    <mergeCell ref="E4:F4"/>
    <mergeCell ref="G4:H4"/>
    <mergeCell ref="A1:H3"/>
    <mergeCell ref="A75:C75"/>
    <mergeCell ref="A71:C71"/>
    <mergeCell ref="A51:C51"/>
    <mergeCell ref="A54:C54"/>
    <mergeCell ref="A69:C69"/>
    <mergeCell ref="A70:C70"/>
    <mergeCell ref="A57:C57"/>
    <mergeCell ref="A58:C58"/>
    <mergeCell ref="A59:C59"/>
    <mergeCell ref="B4:C4"/>
    <mergeCell ref="A50:C50"/>
    <mergeCell ref="A33:C33"/>
    <mergeCell ref="A44:C44"/>
    <mergeCell ref="A45:C45"/>
  </mergeCells>
  <printOptions/>
  <pageMargins left="0.35433070866141736" right="0.15748031496062992" top="0.16" bottom="0.16" header="0.16" footer="0.16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2013-04-02T10:59:40Z</cp:lastPrinted>
  <dcterms:created xsi:type="dcterms:W3CDTF">1996-10-08T23:32:33Z</dcterms:created>
  <dcterms:modified xsi:type="dcterms:W3CDTF">2013-05-17T07:34:26Z</dcterms:modified>
  <cp:category/>
  <cp:version/>
  <cp:contentType/>
  <cp:contentStatus/>
</cp:coreProperties>
</file>