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29" activeTab="0"/>
  </bookViews>
  <sheets>
    <sheet name="морозова 59. (3)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Главный Бухгалтер</author>
  </authors>
  <commentList>
    <comment ref="F28" authorId="0">
      <text>
        <r>
          <rPr>
            <b/>
            <sz val="8"/>
            <rFont val="Tahoma"/>
            <family val="0"/>
          </rPr>
          <t>Главный Бухгалтер:</t>
        </r>
        <r>
          <rPr>
            <sz val="8"/>
            <rFont val="Tahoma"/>
            <family val="0"/>
          </rPr>
          <t xml:space="preserve">
1149,5-автовышка</t>
        </r>
      </text>
    </comment>
  </commentList>
</comments>
</file>

<file path=xl/sharedStrings.xml><?xml version="1.0" encoding="utf-8"?>
<sst xmlns="http://schemas.openxmlformats.org/spreadsheetml/2006/main" count="98" uniqueCount="80">
  <si>
    <t>МУП "ЖЭУ-2" г. Ставрополя</t>
  </si>
  <si>
    <t>Итого:</t>
  </si>
  <si>
    <t>Обслуживание конструктивных элементов здания</t>
  </si>
  <si>
    <t>Оплата труда:</t>
  </si>
  <si>
    <t>Обслуживание внутридомового оборудования</t>
  </si>
  <si>
    <t>Санитарное содержание придомовой территории</t>
  </si>
  <si>
    <t>Оплата труда</t>
  </si>
  <si>
    <t>Накладные</t>
  </si>
  <si>
    <t>Подрядчики</t>
  </si>
  <si>
    <t>Тариф</t>
  </si>
  <si>
    <t>ООО УК "ЖЭУ-2"</t>
  </si>
  <si>
    <t>Материалы</t>
  </si>
  <si>
    <t>Подрядные организации</t>
  </si>
  <si>
    <r>
      <t xml:space="preserve">Генеральный подрядчик МУП "ЖЭУ-2" г. Ставрополя -  </t>
    </r>
    <r>
      <rPr>
        <i/>
        <sz val="10"/>
        <rFont val="Arial"/>
        <family val="2"/>
      </rPr>
      <t>содержание и техническое обслуживание  многоквартирного дома</t>
    </r>
  </si>
  <si>
    <t>Техническое обслуживание общедомовой системы отопления:</t>
  </si>
  <si>
    <t>Техническое обслуживание общедомовой системы канализации:</t>
  </si>
  <si>
    <t xml:space="preserve">Техническое обслуживание электрических устройств мест общего пользования </t>
  </si>
  <si>
    <t xml:space="preserve"> - подметание свежевыпавшего снега</t>
  </si>
  <si>
    <t xml:space="preserve"> - очистка территории от уплотненного снега</t>
  </si>
  <si>
    <t xml:space="preserve"> - очистка территории от наледи и льда</t>
  </si>
  <si>
    <t>Статьи затрат:</t>
  </si>
  <si>
    <t>Генеральный директор</t>
  </si>
  <si>
    <t>Отчисления на социальные нужды</t>
  </si>
  <si>
    <t>Общецеховые, Общеэксплуатационные расходы</t>
  </si>
  <si>
    <t xml:space="preserve">Оплата труда </t>
  </si>
  <si>
    <t>Ведущий экономист</t>
  </si>
  <si>
    <t>м2</t>
  </si>
  <si>
    <t>Общая площадь дома:</t>
  </si>
  <si>
    <t>руб./1 м2 в месяц</t>
  </si>
  <si>
    <t>С.А. Сычева</t>
  </si>
  <si>
    <t>Техническое обслуживание общедомовой системы холодного водоснабжения</t>
  </si>
  <si>
    <t xml:space="preserve">      </t>
  </si>
  <si>
    <t xml:space="preserve"> - подметание в летний период</t>
  </si>
  <si>
    <t xml:space="preserve"> - транспортировка мусора в установленное место</t>
  </si>
  <si>
    <t xml:space="preserve"> - уборка мусора с газонов</t>
  </si>
  <si>
    <r>
      <t>ООО УК "ЖЭУ-2"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Услуги управления</t>
    </r>
  </si>
  <si>
    <r>
      <t>ОАО "СГРЦ"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начисление и сбор платежей</t>
    </r>
  </si>
  <si>
    <r>
      <t>ООО "Печник"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обследование вентканалов</t>
    </r>
  </si>
  <si>
    <r>
      <t xml:space="preserve">ООО "Ставропольгоргаз" 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обслуживание фасадной разводки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</si>
  <si>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дезинсекцияция (площадь подвала- 100м2)</t>
    </r>
  </si>
  <si>
    <r>
      <t>ООО "Микст"</t>
    </r>
    <r>
      <rPr>
        <sz val="10"/>
        <rFont val="Arial"/>
        <family val="2"/>
      </rPr>
      <t xml:space="preserve"> - </t>
    </r>
    <r>
      <rPr>
        <i/>
        <sz val="10"/>
        <rFont val="Arial"/>
        <family val="2"/>
      </rPr>
      <t>дератизация (площадь подвала- 100м2)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</si>
  <si>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холодного и горячего водоснабжения</t>
    </r>
  </si>
  <si>
    <r>
      <t>СМУП "АРС"</t>
    </r>
    <r>
      <rPr>
        <sz val="10"/>
        <rFont val="Arial"/>
        <family val="2"/>
      </rPr>
      <t xml:space="preserve">- </t>
    </r>
    <r>
      <rPr>
        <i/>
        <sz val="10"/>
        <rFont val="Arial"/>
        <family val="2"/>
      </rPr>
      <t>аварийное обслуживание систем центрального отопления</t>
    </r>
  </si>
  <si>
    <r>
      <t>ООО "Ставропольэлектросеть"-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аварийное обслуживание внутридомовых электрических сетей и электрической арматуры</t>
    </r>
  </si>
  <si>
    <t>Остаток денежных средств на 30.09.2011 г.</t>
  </si>
  <si>
    <t>Г.В. Ивахненко</t>
  </si>
  <si>
    <t xml:space="preserve"> - покос газона</t>
  </si>
  <si>
    <t>ООО УК "ЖЭУ-2" - Содержание и техническое обслуживание:</t>
  </si>
  <si>
    <t>ОАО "Горэлектросеть"- электроэнергия:</t>
  </si>
  <si>
    <t>ИТОГО:</t>
  </si>
  <si>
    <t>* Задолженностью считается неоплата свыше двух месяцев</t>
  </si>
  <si>
    <t>Утвержденный тариф 12,30 руб./м2</t>
  </si>
  <si>
    <t>Начислено за период</t>
  </si>
  <si>
    <t>Поступило в отчетном периоде</t>
  </si>
  <si>
    <t>руб. за период</t>
  </si>
  <si>
    <t xml:space="preserve"> </t>
  </si>
  <si>
    <t xml:space="preserve"> -отключение системы отопления по окончании отопительного сезона (25.04.12 г.)</t>
  </si>
  <si>
    <t>Поступило от ОАО "Вымпелком""</t>
  </si>
  <si>
    <t>Начислено за 1 полугодие</t>
  </si>
  <si>
    <t>Поступило в 1 полугодии</t>
  </si>
  <si>
    <t xml:space="preserve"> - устройство ограждений в местах потенциального обрушения наледи (сосулек) с кровли (январь 2012)</t>
  </si>
  <si>
    <t xml:space="preserve"> - очистка кровли от снега, обследование кровельного покрытия на течь (21.02.2012)</t>
  </si>
  <si>
    <t xml:space="preserve"> - очистка кровли от наледи (28.02.2012)</t>
  </si>
  <si>
    <t xml:space="preserve"> - ремонт водосточных труб (14.03.2012)</t>
  </si>
  <si>
    <t xml:space="preserve"> - осмотр Т/У, смазочные работы, очистка (21.03.2012)</t>
  </si>
  <si>
    <t xml:space="preserve"> - отбивка разрушающейся кладки (02,05.2012)</t>
  </si>
  <si>
    <t xml:space="preserve"> - латочный ремонт кровли (12.05.2012)</t>
  </si>
  <si>
    <t xml:space="preserve"> - ремонт водосточных труб с автовышки, ремонт кровли мастикой (17.07.2012)</t>
  </si>
  <si>
    <t>Начислено за 2 полугодие</t>
  </si>
  <si>
    <t>Поступило во 2 полугодии</t>
  </si>
  <si>
    <t>Задолженность* на 01.01.2013 г.</t>
  </si>
  <si>
    <t xml:space="preserve"> - Очистка козырьков от мусора (14.11.2012)</t>
  </si>
  <si>
    <t xml:space="preserve"> - Опиловка деревьев (16.11.2012)</t>
  </si>
  <si>
    <r>
      <t>Дополнительные услуги (локальная смета)</t>
    </r>
    <r>
      <rPr>
        <sz val="10"/>
        <rFont val="Arial"/>
        <family val="0"/>
      </rPr>
      <t xml:space="preserve"> -Латочный ремонт кровли (кв.30) (16.11.2012)</t>
    </r>
  </si>
  <si>
    <t xml:space="preserve"> - замена ламп накаливания - 41 шт </t>
  </si>
  <si>
    <t xml:space="preserve"> - Очистка свесов кровли от снега и наледи (сосулек) (29.12.2012)</t>
  </si>
  <si>
    <t>Перерасчет за несвоевременную и некачественную уборку территории за период: сентябрь 2012 г. - декабрь 2012 г.</t>
  </si>
  <si>
    <t>Итого по санитарному содержанию придомовой территории</t>
  </si>
  <si>
    <t>руб.</t>
  </si>
  <si>
    <t>Отчет за   2012 г. о выполненных работах по управлению, содержанию и техническому обслуживанию жилого многоквартирного дома ул. Морозова 30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</si>
</sst>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"/>
    <numFmt numFmtId="183" formatCode="0.0000"/>
    <numFmt numFmtId="184" formatCode="0.00000000"/>
    <numFmt numFmtId="185" formatCode="0.0000000"/>
    <numFmt numFmtId="186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12"/>
      <name val="Arial Cyr"/>
      <family val="0"/>
    </font>
    <font>
      <sz val="10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horizontal="left" wrapText="1"/>
    </xf>
    <xf numFmtId="0" fontId="1" fillId="0" borderId="0" xfId="0" applyFont="1" applyBorder="1" applyAlignment="1">
      <alignment/>
    </xf>
    <xf numFmtId="2" fontId="1" fillId="0" borderId="2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3" fillId="0" borderId="19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0" xfId="0" applyFont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0" borderId="25" xfId="0" applyFont="1" applyBorder="1" applyAlignment="1">
      <alignment wrapText="1"/>
    </xf>
    <xf numFmtId="0" fontId="0" fillId="4" borderId="26" xfId="0" applyFill="1" applyBorder="1" applyAlignment="1">
      <alignment/>
    </xf>
    <xf numFmtId="0" fontId="2" fillId="0" borderId="27" xfId="0" applyFont="1" applyBorder="1" applyAlignment="1">
      <alignment/>
    </xf>
    <xf numFmtId="2" fontId="1" fillId="0" borderId="11" xfId="0" applyNumberFormat="1" applyFont="1" applyBorder="1" applyAlignment="1">
      <alignment/>
    </xf>
    <xf numFmtId="0" fontId="1" fillId="0" borderId="16" xfId="0" applyFont="1" applyBorder="1" applyAlignment="1">
      <alignment wrapText="1"/>
    </xf>
    <xf numFmtId="2" fontId="1" fillId="4" borderId="28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1" fillId="0" borderId="29" xfId="0" applyNumberFormat="1" applyFont="1" applyBorder="1" applyAlignment="1">
      <alignment/>
    </xf>
    <xf numFmtId="2" fontId="1" fillId="0" borderId="30" xfId="0" applyNumberFormat="1" applyFont="1" applyBorder="1" applyAlignment="1">
      <alignment/>
    </xf>
    <xf numFmtId="0" fontId="5" fillId="0" borderId="31" xfId="0" applyFont="1" applyFill="1" applyBorder="1" applyAlignment="1">
      <alignment horizontal="left" wrapText="1"/>
    </xf>
    <xf numFmtId="0" fontId="5" fillId="0" borderId="31" xfId="0" applyFont="1" applyFill="1" applyBorder="1" applyAlignment="1">
      <alignment horizontal="left"/>
    </xf>
    <xf numFmtId="2" fontId="0" fillId="0" borderId="29" xfId="0" applyNumberFormat="1" applyFont="1" applyBorder="1" applyAlignment="1">
      <alignment/>
    </xf>
    <xf numFmtId="0" fontId="3" fillId="0" borderId="31" xfId="0" applyFont="1" applyFill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31" xfId="0" applyFont="1" applyFill="1" applyBorder="1" applyAlignment="1">
      <alignment horizontal="left"/>
    </xf>
    <xf numFmtId="2" fontId="0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29" xfId="0" applyFont="1" applyBorder="1" applyAlignment="1">
      <alignment/>
    </xf>
    <xf numFmtId="2" fontId="0" fillId="0" borderId="33" xfId="0" applyNumberFormat="1" applyFont="1" applyBorder="1" applyAlignment="1">
      <alignment/>
    </xf>
    <xf numFmtId="2" fontId="0" fillId="0" borderId="34" xfId="0" applyNumberFormat="1" applyFont="1" applyBorder="1" applyAlignment="1">
      <alignment/>
    </xf>
    <xf numFmtId="2" fontId="0" fillId="0" borderId="35" xfId="0" applyNumberFormat="1" applyFont="1" applyBorder="1" applyAlignment="1">
      <alignment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38" xfId="0" applyFont="1" applyBorder="1" applyAlignment="1">
      <alignment horizontal="left"/>
    </xf>
    <xf numFmtId="2" fontId="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12" xfId="0" applyFont="1" applyFill="1" applyBorder="1" applyAlignment="1">
      <alignment/>
    </xf>
    <xf numFmtId="0" fontId="0" fillId="0" borderId="34" xfId="0" applyBorder="1" applyAlignment="1">
      <alignment/>
    </xf>
    <xf numFmtId="2" fontId="0" fillId="0" borderId="34" xfId="0" applyNumberFormat="1" applyBorder="1" applyAlignment="1">
      <alignment/>
    </xf>
    <xf numFmtId="0" fontId="1" fillId="0" borderId="16" xfId="0" applyFont="1" applyFill="1" applyBorder="1" applyAlignment="1">
      <alignment wrapText="1"/>
    </xf>
    <xf numFmtId="2" fontId="1" fillId="0" borderId="20" xfId="0" applyNumberFormat="1" applyFont="1" applyBorder="1" applyAlignment="1">
      <alignment/>
    </xf>
    <xf numFmtId="2" fontId="0" fillId="0" borderId="39" xfId="0" applyNumberFormat="1" applyBorder="1" applyAlignment="1">
      <alignment/>
    </xf>
    <xf numFmtId="2" fontId="0" fillId="0" borderId="40" xfId="0" applyNumberFormat="1" applyBorder="1" applyAlignment="1">
      <alignment/>
    </xf>
    <xf numFmtId="0" fontId="0" fillId="0" borderId="40" xfId="0" applyBorder="1" applyAlignment="1">
      <alignment/>
    </xf>
    <xf numFmtId="2" fontId="0" fillId="0" borderId="41" xfId="0" applyNumberFormat="1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0" fillId="0" borderId="0" xfId="0" applyBorder="1" applyAlignment="1">
      <alignment horizontal="right" wrapText="1"/>
    </xf>
    <xf numFmtId="2" fontId="1" fillId="0" borderId="42" xfId="0" applyNumberFormat="1" applyFont="1" applyBorder="1" applyAlignment="1">
      <alignment/>
    </xf>
    <xf numFmtId="0" fontId="1" fillId="0" borderId="30" xfId="0" applyFont="1" applyBorder="1" applyAlignment="1">
      <alignment/>
    </xf>
    <xf numFmtId="2" fontId="1" fillId="0" borderId="30" xfId="0" applyNumberFormat="1" applyFont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2" fontId="0" fillId="0" borderId="29" xfId="0" applyNumberFormat="1" applyFont="1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36" xfId="0" applyFill="1" applyBorder="1" applyAlignment="1">
      <alignment/>
    </xf>
    <xf numFmtId="0" fontId="0" fillId="4" borderId="17" xfId="0" applyFill="1" applyBorder="1" applyAlignment="1">
      <alignment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4" borderId="12" xfId="0" applyFont="1" applyFill="1" applyBorder="1" applyAlignment="1">
      <alignment/>
    </xf>
    <xf numFmtId="0" fontId="0" fillId="4" borderId="12" xfId="0" applyFill="1" applyBorder="1" applyAlignment="1">
      <alignment wrapText="1"/>
    </xf>
    <xf numFmtId="0" fontId="0" fillId="4" borderId="36" xfId="0" applyFill="1" applyBorder="1" applyAlignment="1">
      <alignment wrapText="1"/>
    </xf>
    <xf numFmtId="0" fontId="0" fillId="4" borderId="13" xfId="0" applyFill="1" applyBorder="1" applyAlignment="1">
      <alignment wrapText="1"/>
    </xf>
    <xf numFmtId="2" fontId="0" fillId="0" borderId="14" xfId="0" applyNumberFormat="1" applyFont="1" applyBorder="1" applyAlignment="1">
      <alignment/>
    </xf>
    <xf numFmtId="0" fontId="0" fillId="0" borderId="14" xfId="0" applyFill="1" applyBorder="1" applyAlignment="1">
      <alignment/>
    </xf>
    <xf numFmtId="0" fontId="0" fillId="0" borderId="29" xfId="0" applyFill="1" applyBorder="1" applyAlignment="1">
      <alignment/>
    </xf>
    <xf numFmtId="0" fontId="5" fillId="0" borderId="29" xfId="0" applyFont="1" applyFill="1" applyBorder="1" applyAlignment="1">
      <alignment horizontal="left"/>
    </xf>
    <xf numFmtId="0" fontId="0" fillId="0" borderId="29" xfId="0" applyFont="1" applyFill="1" applyBorder="1" applyAlignment="1">
      <alignment horizontal="left"/>
    </xf>
    <xf numFmtId="0" fontId="3" fillId="0" borderId="29" xfId="0" applyFont="1" applyFill="1" applyBorder="1" applyAlignment="1">
      <alignment horizontal="left"/>
    </xf>
    <xf numFmtId="2" fontId="0" fillId="0" borderId="14" xfId="0" applyNumberFormat="1" applyFont="1" applyFill="1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44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2" fontId="0" fillId="4" borderId="18" xfId="0" applyNumberFormat="1" applyFont="1" applyFill="1" applyBorder="1" applyAlignment="1">
      <alignment/>
    </xf>
    <xf numFmtId="2" fontId="1" fillId="0" borderId="14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29" xfId="0" applyNumberFormat="1" applyFont="1" applyFill="1" applyBorder="1" applyAlignment="1">
      <alignment/>
    </xf>
    <xf numFmtId="0" fontId="0" fillId="4" borderId="18" xfId="0" applyFont="1" applyFill="1" applyBorder="1" applyAlignment="1">
      <alignment/>
    </xf>
    <xf numFmtId="2" fontId="1" fillId="0" borderId="14" xfId="0" applyNumberFormat="1" applyFont="1" applyBorder="1" applyAlignment="1">
      <alignment/>
    </xf>
    <xf numFmtId="2" fontId="1" fillId="0" borderId="32" xfId="0" applyNumberFormat="1" applyFont="1" applyBorder="1" applyAlignment="1">
      <alignment/>
    </xf>
    <xf numFmtId="2" fontId="1" fillId="0" borderId="46" xfId="0" applyNumberFormat="1" applyFont="1" applyBorder="1" applyAlignment="1">
      <alignment/>
    </xf>
    <xf numFmtId="2" fontId="1" fillId="0" borderId="47" xfId="0" applyNumberFormat="1" applyFont="1" applyBorder="1" applyAlignment="1">
      <alignment/>
    </xf>
    <xf numFmtId="2" fontId="1" fillId="0" borderId="48" xfId="0" applyNumberFormat="1" applyFont="1" applyBorder="1" applyAlignment="1">
      <alignment/>
    </xf>
    <xf numFmtId="0" fontId="11" fillId="0" borderId="14" xfId="0" applyFont="1" applyBorder="1" applyAlignment="1">
      <alignment wrapText="1"/>
    </xf>
    <xf numFmtId="2" fontId="11" fillId="0" borderId="21" xfId="0" applyNumberFormat="1" applyFont="1" applyBorder="1" applyAlignment="1">
      <alignment/>
    </xf>
    <xf numFmtId="2" fontId="11" fillId="0" borderId="31" xfId="0" applyNumberFormat="1" applyFont="1" applyBorder="1" applyAlignment="1">
      <alignment/>
    </xf>
    <xf numFmtId="0" fontId="11" fillId="4" borderId="12" xfId="0" applyFont="1" applyFill="1" applyBorder="1" applyAlignment="1">
      <alignment/>
    </xf>
    <xf numFmtId="2" fontId="11" fillId="0" borderId="14" xfId="0" applyNumberFormat="1" applyFont="1" applyFill="1" applyBorder="1" applyAlignment="1">
      <alignment/>
    </xf>
    <xf numFmtId="2" fontId="11" fillId="0" borderId="10" xfId="0" applyNumberFormat="1" applyFont="1" applyFill="1" applyBorder="1" applyAlignment="1">
      <alignment/>
    </xf>
    <xf numFmtId="2" fontId="11" fillId="0" borderId="29" xfId="0" applyNumberFormat="1" applyFont="1" applyFill="1" applyBorder="1" applyAlignment="1">
      <alignment/>
    </xf>
    <xf numFmtId="0" fontId="11" fillId="0" borderId="0" xfId="0" applyFont="1" applyAlignment="1">
      <alignment/>
    </xf>
    <xf numFmtId="2" fontId="2" fillId="0" borderId="21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0" fontId="2" fillId="4" borderId="12" xfId="0" applyFont="1" applyFill="1" applyBorder="1" applyAlignment="1">
      <alignment/>
    </xf>
    <xf numFmtId="2" fontId="2" fillId="0" borderId="14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29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1" fillId="0" borderId="14" xfId="0" applyFont="1" applyBorder="1" applyAlignment="1">
      <alignment/>
    </xf>
    <xf numFmtId="0" fontId="6" fillId="0" borderId="16" xfId="0" applyFont="1" applyBorder="1" applyAlignment="1">
      <alignment/>
    </xf>
    <xf numFmtId="2" fontId="6" fillId="0" borderId="30" xfId="0" applyNumberFormat="1" applyFont="1" applyBorder="1" applyAlignment="1">
      <alignment/>
    </xf>
    <xf numFmtId="0" fontId="0" fillId="0" borderId="20" xfId="0" applyBorder="1" applyAlignment="1">
      <alignment/>
    </xf>
    <xf numFmtId="2" fontId="6" fillId="0" borderId="49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31" xfId="0" applyFont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5" fillId="0" borderId="31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&#1086;&#1089;&#1085;&#1086;&#1074;&#1085;&#1086;&#1081;%20&#1088;&#1072;&#1089;&#1095;&#1077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42;&#1045;&#1058;&#1040;\&#1086;&#1090;&#1095;&#1077;&#1090;%20&#1087;&#1086;%20&#1076;&#1086;&#1084;&#1072;&#1084;\2011%20&#1075;\9%20&#1084;&#1077;&#1089;\9&#1084;%20&#1086;&#1089;&#1085;&#1086;&#1074;&#1085;&#1086;&#1081;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7;&#1086;&#1083;.12.%20&#1086;&#1089;&#1085;&#1086;&#1074;&#1085;&#1086;&#1081;%20&#1088;&#1072;&#1089;&#1095;&#1077;&#109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,2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&#1086;&#1089;&#1085;&#1086;&#1074;&#1085;&#1086;&#1081;%20&#1088;&#1072;&#1089;&#1095;&#1077;&#109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3;&#1083;&#1072;&#1074;&#1085;&#1099;&#1081;%20&#1041;&#1091;&#1093;&#1075;&#1072;&#1083;&#1090;&#1077;&#1088;\&#1056;&#1072;&#1073;&#1086;&#1095;&#1080;&#1081;%20&#1089;&#1090;&#1086;&#1083;\&#1069;&#1082;&#1086;&#1085;&#1086;&#1084;&#1080;&#1089;&#1090;-2\&#1084;&#1086;&#1080;%20&#1076;&#1086;&#1082;\&#1057;&#1042;&#1045;&#1058;&#1040;\&#1086;&#1090;&#1095;&#1077;&#1090;%20&#1087;&#1086;%20&#1076;&#1086;&#1084;&#1072;&#1084;\2012\1%20&#1087;&#1086;&#1083;.2012\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МУП (3)"/>
      <sheetName val="Подрядч"/>
    </sheetNames>
    <sheetDataSet>
      <sheetData sheetId="1">
        <row r="61">
          <cell r="R61">
            <v>0.6</v>
          </cell>
          <cell r="X61">
            <v>0.71</v>
          </cell>
          <cell r="AH61">
            <v>1.04</v>
          </cell>
          <cell r="AN61">
            <v>1.24</v>
          </cell>
        </row>
      </sheetData>
      <sheetData sheetId="3">
        <row r="61">
          <cell r="C61">
            <v>1526.4</v>
          </cell>
          <cell r="L61">
            <v>969.2640000000001</v>
          </cell>
          <cell r="M61">
            <v>549.504</v>
          </cell>
          <cell r="P61">
            <v>333.97632</v>
          </cell>
          <cell r="AN61">
            <v>1.5902501000000002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П (2)"/>
      <sheetName val="МУП"/>
      <sheetName val="Подрядч"/>
      <sheetName val="Начисление"/>
      <sheetName val="Подрядч факт"/>
      <sheetName val="Площадь участков"/>
      <sheetName val="Площадь участков (2)"/>
      <sheetName val="Лист1"/>
      <sheetName val="в Админ"/>
      <sheetName val="Начисление ТО"/>
      <sheetName val="Начисление Эл.Эн"/>
    </sheetNames>
    <sheetDataSet>
      <sheetData sheetId="1">
        <row r="61">
          <cell r="BC61">
            <v>1.962253260984169</v>
          </cell>
          <cell r="BJ61">
            <v>2.404025505285261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2">
        <row r="68">
          <cell r="O68">
            <v>112648.32</v>
          </cell>
          <cell r="P68">
            <v>103695.03</v>
          </cell>
        </row>
      </sheetData>
      <sheetData sheetId="4">
        <row r="62">
          <cell r="AM62">
            <v>83471.91999999998</v>
          </cell>
          <cell r="AN62">
            <v>66062.53</v>
          </cell>
        </row>
      </sheetData>
      <sheetData sheetId="6">
        <row r="61">
          <cell r="AG61">
            <v>1224</v>
          </cell>
          <cell r="AH61">
            <v>401.42</v>
          </cell>
          <cell r="AN61">
            <v>85</v>
          </cell>
          <cell r="AS61">
            <v>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мат-лы"/>
      <sheetName val="мат-лы пол-е"/>
      <sheetName val="мат-лы 9 мес"/>
      <sheetName val="мат-лы год"/>
    </sheetNames>
    <sheetDataSet>
      <sheetData sheetId="7">
        <row r="69">
          <cell r="O69">
            <v>684.61</v>
          </cell>
          <cell r="P69">
            <v>172.43</v>
          </cell>
          <cell r="Q69">
            <v>806.3108244624439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МУП"/>
      <sheetName val="Подрядч"/>
      <sheetName val="Начисление"/>
      <sheetName val="Расчет эл.энергии"/>
      <sheetName val="Начис электроэн"/>
      <sheetName val="Начис Уп.Тр"/>
      <sheetName val="Подрядч факт"/>
      <sheetName val="Площадь участков"/>
      <sheetName val="Площадь участков (2)"/>
      <sheetName val="в Админ"/>
    </sheetNames>
    <sheetDataSet>
      <sheetData sheetId="0">
        <row r="69">
          <cell r="V69">
            <v>0.7357128363614086</v>
          </cell>
          <cell r="AB69">
            <v>0.3310707763626339</v>
          </cell>
          <cell r="AD69">
            <v>0.6253559109071972</v>
          </cell>
          <cell r="AH69">
            <v>0.09865909135606489</v>
          </cell>
          <cell r="AZ69">
            <v>1.2671355712236911</v>
          </cell>
          <cell r="BF69">
            <v>0.5702110070506611</v>
          </cell>
          <cell r="BH69">
            <v>1.0770652355401376</v>
          </cell>
          <cell r="BL69">
            <v>0.169922880101097</v>
          </cell>
          <cell r="BW69">
            <v>2.4663985023414696</v>
          </cell>
          <cell r="CD69">
            <v>1.1098793260536612</v>
          </cell>
          <cell r="CF69">
            <v>2.096438726990249</v>
          </cell>
          <cell r="CJ69">
            <v>0.3196452459034545</v>
          </cell>
        </row>
      </sheetData>
      <sheetData sheetId="1">
        <row r="69">
          <cell r="R69">
            <v>366.336</v>
          </cell>
        </row>
      </sheetData>
      <sheetData sheetId="2">
        <row r="68">
          <cell r="O68">
            <v>225296.64</v>
          </cell>
          <cell r="P68">
            <v>203397.35</v>
          </cell>
          <cell r="Q68">
            <v>53995.75</v>
          </cell>
        </row>
      </sheetData>
      <sheetData sheetId="4">
        <row r="62">
          <cell r="AM62">
            <v>166119.24</v>
          </cell>
          <cell r="AN62">
            <v>139871.96</v>
          </cell>
          <cell r="AO62">
            <v>18711.010000000002</v>
          </cell>
        </row>
      </sheetData>
      <sheetData sheetId="6">
        <row r="63">
          <cell r="AG63">
            <v>408</v>
          </cell>
          <cell r="AN63">
            <v>1540.04</v>
          </cell>
          <cell r="AS6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,26"/>
      <sheetName val="20,26 пол-е"/>
      <sheetName val="20,26 9 мес"/>
      <sheetName val="20,26 год"/>
      <sheetName val="3 квартал"/>
      <sheetName val="4 квартал"/>
      <sheetName val="мат"/>
      <sheetName val="мат-лы год"/>
      <sheetName val="мат-лы"/>
      <sheetName val="мат-лы пол-е"/>
      <sheetName val="мат-лы 9 мес"/>
    </sheetNames>
    <sheetDataSet>
      <sheetData sheetId="7">
        <row r="69">
          <cell r="O69">
            <v>2125.9</v>
          </cell>
          <cell r="P69">
            <v>189.1</v>
          </cell>
          <cell r="Q69">
            <v>1567.3719692421362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selection activeCell="A75" sqref="A75"/>
    </sheetView>
  </sheetViews>
  <sheetFormatPr defaultColWidth="9.140625" defaultRowHeight="12.75"/>
  <cols>
    <col min="1" max="1" width="72.28125" style="0" customWidth="1"/>
    <col min="2" max="2" width="13.7109375" style="0" hidden="1" customWidth="1"/>
    <col min="3" max="3" width="13.00390625" style="0" hidden="1" customWidth="1"/>
    <col min="4" max="4" width="0" style="0" hidden="1" customWidth="1"/>
    <col min="5" max="5" width="13.7109375" style="0" hidden="1" customWidth="1"/>
    <col min="6" max="6" width="13.00390625" style="0" hidden="1" customWidth="1"/>
    <col min="7" max="7" width="13.7109375" style="0" customWidth="1"/>
    <col min="8" max="8" width="13.00390625" style="0" customWidth="1"/>
    <col min="9" max="9" width="18.28125" style="0" customWidth="1"/>
  </cols>
  <sheetData>
    <row r="1" spans="1:8" ht="15" customHeight="1">
      <c r="A1" s="152" t="s">
        <v>79</v>
      </c>
      <c r="B1" s="152"/>
      <c r="C1" s="152"/>
      <c r="D1" s="152"/>
      <c r="E1" s="152"/>
      <c r="F1" s="152"/>
      <c r="G1" s="152"/>
      <c r="H1" s="152"/>
    </row>
    <row r="2" spans="1:8" ht="15" customHeight="1">
      <c r="A2" s="152"/>
      <c r="B2" s="152"/>
      <c r="C2" s="152"/>
      <c r="D2" s="152"/>
      <c r="E2" s="152"/>
      <c r="F2" s="152"/>
      <c r="G2" s="152"/>
      <c r="H2" s="152"/>
    </row>
    <row r="3" spans="1:8" ht="15" customHeight="1">
      <c r="A3" s="152"/>
      <c r="B3" s="152"/>
      <c r="C3" s="152"/>
      <c r="D3" s="152"/>
      <c r="E3" s="152"/>
      <c r="F3" s="152"/>
      <c r="G3" s="152"/>
      <c r="H3" s="152"/>
    </row>
    <row r="4" spans="1:8" ht="13.5" thickBot="1">
      <c r="A4" s="22"/>
      <c r="B4" s="151"/>
      <c r="C4" s="151"/>
      <c r="E4" s="151"/>
      <c r="F4" s="151"/>
      <c r="G4" s="151"/>
      <c r="H4" s="151"/>
    </row>
    <row r="5" spans="1:9" s="24" customFormat="1" ht="40.5" customHeight="1" thickBot="1">
      <c r="A5" s="39" t="s">
        <v>20</v>
      </c>
      <c r="B5" s="70" t="s">
        <v>58</v>
      </c>
      <c r="C5" s="70" t="s">
        <v>59</v>
      </c>
      <c r="D5" s="70"/>
      <c r="E5" s="70" t="s">
        <v>68</v>
      </c>
      <c r="F5" s="70" t="s">
        <v>69</v>
      </c>
      <c r="G5" s="70" t="s">
        <v>52</v>
      </c>
      <c r="H5" s="70" t="s">
        <v>53</v>
      </c>
      <c r="I5" s="71" t="s">
        <v>70</v>
      </c>
    </row>
    <row r="6" spans="1:9" ht="12.75">
      <c r="A6" s="72" t="s">
        <v>47</v>
      </c>
      <c r="B6" s="73">
        <f>'[3]Начисление'!$O$68</f>
        <v>112648.32</v>
      </c>
      <c r="C6" s="73">
        <f>'[3]Начисление'!$P$68</f>
        <v>103695.03</v>
      </c>
      <c r="D6" s="73">
        <f>'[3]Начисление'!$O$68</f>
        <v>112648.32</v>
      </c>
      <c r="E6" s="73">
        <f>'[3]Начисление'!$O$68</f>
        <v>112648.32</v>
      </c>
      <c r="F6" s="73">
        <f>'[3]Начисление'!$P$68</f>
        <v>103695.03</v>
      </c>
      <c r="G6" s="73">
        <f>'[5]Начисление'!$O$68</f>
        <v>225296.64</v>
      </c>
      <c r="H6" s="73">
        <f>'[5]Начисление'!$P$68</f>
        <v>203397.35</v>
      </c>
      <c r="I6" s="73">
        <f>'[5]Начисление'!$Q$68</f>
        <v>53995.75</v>
      </c>
    </row>
    <row r="7" spans="1:9" ht="13.5" thickBot="1">
      <c r="A7" s="74" t="s">
        <v>48</v>
      </c>
      <c r="B7" s="75">
        <f>'[3]Начис электроэн'!$AM$62</f>
        <v>83471.91999999998</v>
      </c>
      <c r="C7" s="75">
        <f>'[3]Начис электроэн'!$AN$62</f>
        <v>66062.53</v>
      </c>
      <c r="D7" s="75">
        <f>'[3]Начис электроэн'!$AM$62</f>
        <v>83471.91999999998</v>
      </c>
      <c r="E7" s="75">
        <f>'[3]Начис электроэн'!$AM$62</f>
        <v>83471.91999999998</v>
      </c>
      <c r="F7" s="75">
        <f>'[3]Начис электроэн'!$AN$62</f>
        <v>66062.53</v>
      </c>
      <c r="G7" s="75">
        <f>'[5]Начис электроэн'!$AM$62</f>
        <v>166119.24</v>
      </c>
      <c r="H7" s="75">
        <f>'[5]Начис электроэн'!$AN$62</f>
        <v>139871.96</v>
      </c>
      <c r="I7" s="75">
        <f>'[5]Начис электроэн'!$AO$62</f>
        <v>18711.010000000002</v>
      </c>
    </row>
    <row r="8" spans="1:9" ht="13.5" thickBot="1">
      <c r="A8" s="76" t="s">
        <v>49</v>
      </c>
      <c r="B8" s="77">
        <f aca="true" t="shared" si="0" ref="B8:I8">SUM(B6:B7)</f>
        <v>196120.24</v>
      </c>
      <c r="C8" s="77">
        <f t="shared" si="0"/>
        <v>169757.56</v>
      </c>
      <c r="D8" s="77">
        <f t="shared" si="0"/>
        <v>196120.24</v>
      </c>
      <c r="E8" s="77">
        <f t="shared" si="0"/>
        <v>196120.24</v>
      </c>
      <c r="F8" s="77">
        <f t="shared" si="0"/>
        <v>169757.56</v>
      </c>
      <c r="G8" s="77">
        <f t="shared" si="0"/>
        <v>391415.88</v>
      </c>
      <c r="H8" s="77">
        <f t="shared" si="0"/>
        <v>343269.31</v>
      </c>
      <c r="I8" s="78">
        <f t="shared" si="0"/>
        <v>72706.76000000001</v>
      </c>
    </row>
    <row r="9" spans="1:8" ht="18.75" customHeight="1">
      <c r="A9" t="s">
        <v>50</v>
      </c>
      <c r="B9" s="29"/>
      <c r="C9" s="29" t="s">
        <v>55</v>
      </c>
      <c r="E9" s="29"/>
      <c r="F9" s="29" t="s">
        <v>55</v>
      </c>
      <c r="G9" s="29"/>
      <c r="H9" s="29" t="s">
        <v>55</v>
      </c>
    </row>
    <row r="11" spans="1:8" ht="12.75">
      <c r="A11" s="8" t="s">
        <v>27</v>
      </c>
      <c r="B11" s="60">
        <f>'[1]Подрядч'!$C$61</f>
        <v>1526.4</v>
      </c>
      <c r="C11" t="s">
        <v>26</v>
      </c>
      <c r="E11" s="60">
        <f>'[1]Подрядч'!$C$61</f>
        <v>1526.4</v>
      </c>
      <c r="F11" t="s">
        <v>26</v>
      </c>
      <c r="G11" s="60">
        <f>'[1]Подрядч'!$C$61</f>
        <v>1526.4</v>
      </c>
      <c r="H11" t="s">
        <v>26</v>
      </c>
    </row>
    <row r="12" spans="1:8" ht="13.5" thickBot="1">
      <c r="A12" s="79" t="s">
        <v>51</v>
      </c>
      <c r="B12" s="9"/>
      <c r="C12" s="59">
        <v>6</v>
      </c>
      <c r="E12" s="9"/>
      <c r="F12" s="59">
        <v>6</v>
      </c>
      <c r="G12" s="9"/>
      <c r="H12" s="59">
        <v>12</v>
      </c>
    </row>
    <row r="13" spans="1:8" s="24" customFormat="1" ht="26.25" thickBot="1">
      <c r="A13" s="19" t="s">
        <v>20</v>
      </c>
      <c r="B13" s="23" t="s">
        <v>28</v>
      </c>
      <c r="C13" s="82" t="s">
        <v>54</v>
      </c>
      <c r="D13" s="32"/>
      <c r="E13" s="23" t="s">
        <v>28</v>
      </c>
      <c r="F13" s="82" t="s">
        <v>54</v>
      </c>
      <c r="G13" s="23" t="s">
        <v>28</v>
      </c>
      <c r="H13" s="82" t="s">
        <v>54</v>
      </c>
    </row>
    <row r="14" spans="1:8" ht="12.75">
      <c r="A14" s="18" t="s">
        <v>35</v>
      </c>
      <c r="B14" s="38">
        <f>'[1]Подрядч'!$AN$61</f>
        <v>1.5902501000000002</v>
      </c>
      <c r="C14" s="50">
        <f>B14*B11*C12</f>
        <v>14564.146515840002</v>
      </c>
      <c r="D14" s="33"/>
      <c r="E14" s="38"/>
      <c r="F14" s="50"/>
      <c r="G14" s="7">
        <f>H14/H12/G11</f>
        <v>0.7951250500000001</v>
      </c>
      <c r="H14" s="50">
        <f>F14+C14</f>
        <v>14564.146515840002</v>
      </c>
    </row>
    <row r="15" spans="1:8" ht="12.75">
      <c r="A15" s="11" t="s">
        <v>12</v>
      </c>
      <c r="B15" s="7">
        <f>C15/B11/C12</f>
        <v>1.8922926925008732</v>
      </c>
      <c r="C15" s="42">
        <f>SUM(C16:C23)</f>
        <v>17330.373395</v>
      </c>
      <c r="D15" s="33"/>
      <c r="E15" s="7">
        <f>F15/E11/F12</f>
        <v>1.9143170095213138</v>
      </c>
      <c r="F15" s="42">
        <f>SUM(F16:F23)</f>
        <v>17532.0809</v>
      </c>
      <c r="G15" s="7">
        <f>H15/G11/H12</f>
        <v>1.9033048510110937</v>
      </c>
      <c r="H15" s="42">
        <f>SUM(H16:H23)</f>
        <v>34862.454295</v>
      </c>
    </row>
    <row r="16" spans="1:8" ht="12.75">
      <c r="A16" s="12" t="s">
        <v>36</v>
      </c>
      <c r="B16" s="51">
        <f>C16/$C$12/$B$11</f>
        <v>0.4819059524589448</v>
      </c>
      <c r="C16" s="46">
        <f>(C6*3.25%)+(B7*1.25%)</f>
        <v>4413.487475</v>
      </c>
      <c r="D16" s="33"/>
      <c r="E16" s="51">
        <f>F16/$F$12/$E$11</f>
        <v>0.46661173349056606</v>
      </c>
      <c r="F16" s="46">
        <f>H16-C16</f>
        <v>4273.4169</v>
      </c>
      <c r="G16" s="51">
        <f>H16/$H$12/$G$11</f>
        <v>0.4742588429747554</v>
      </c>
      <c r="H16" s="46">
        <f>(H6*3.25%)+(G7*1.25%)</f>
        <v>8686.904375</v>
      </c>
    </row>
    <row r="17" spans="1:8" ht="12.75">
      <c r="A17" s="13" t="s">
        <v>37</v>
      </c>
      <c r="B17" s="51">
        <f aca="true" t="shared" si="1" ref="B17:B23">C17/$C$12/$B$11</f>
        <v>0.13364779874213836</v>
      </c>
      <c r="C17" s="52">
        <f>'[3]Подрядч факт'!$AG$61</f>
        <v>1224</v>
      </c>
      <c r="D17" s="33" t="s">
        <v>31</v>
      </c>
      <c r="E17" s="51">
        <f>F17/$F$12/$E$11</f>
        <v>0.044549266247379454</v>
      </c>
      <c r="F17" s="52">
        <f>'[5]Подрядч факт'!$AG$63</f>
        <v>408</v>
      </c>
      <c r="G17" s="51">
        <f aca="true" t="shared" si="2" ref="G17:G23">H17/$H$12/$G$11</f>
        <v>0.08909853249475891</v>
      </c>
      <c r="H17" s="52">
        <f>F17+C17</f>
        <v>1632</v>
      </c>
    </row>
    <row r="18" spans="1:8" ht="12.75">
      <c r="A18" s="13" t="s">
        <v>38</v>
      </c>
      <c r="B18" s="51">
        <f t="shared" si="1"/>
        <v>0.043830800139762406</v>
      </c>
      <c r="C18" s="46">
        <f>'[3]Подрядч факт'!$AH$61</f>
        <v>401.42</v>
      </c>
      <c r="D18" s="33"/>
      <c r="E18" s="51">
        <f aca="true" t="shared" si="3" ref="E18:E23">F18/$F$12/$E$11</f>
        <v>0</v>
      </c>
      <c r="F18" s="46">
        <f>'[5]Подрядч факт'!$AH$63</f>
        <v>0</v>
      </c>
      <c r="G18" s="51">
        <f t="shared" si="2"/>
        <v>0.021915400069881203</v>
      </c>
      <c r="H18" s="52">
        <f aca="true" t="shared" si="4" ref="H18:H23">F18+C18</f>
        <v>401.42</v>
      </c>
    </row>
    <row r="19" spans="1:8" ht="12.75">
      <c r="A19" s="13" t="s">
        <v>39</v>
      </c>
      <c r="B19" s="51">
        <f t="shared" si="1"/>
        <v>0.009281097134870719</v>
      </c>
      <c r="C19" s="53">
        <f>'[3]Подрядч факт'!$AN$61</f>
        <v>85</v>
      </c>
      <c r="D19" s="33"/>
      <c r="E19" s="51">
        <f t="shared" si="3"/>
        <v>0.16815600978336828</v>
      </c>
      <c r="F19" s="53">
        <f>'[5]Подрядч факт'!$AN$63</f>
        <v>1540.04</v>
      </c>
      <c r="G19" s="51">
        <f t="shared" si="2"/>
        <v>0.08871855345911948</v>
      </c>
      <c r="H19" s="52">
        <f t="shared" si="4"/>
        <v>1625.04</v>
      </c>
    </row>
    <row r="20" spans="1:8" ht="13.5" customHeight="1">
      <c r="A20" s="13" t="s">
        <v>40</v>
      </c>
      <c r="B20" s="51">
        <f t="shared" si="1"/>
        <v>0.009827044025157232</v>
      </c>
      <c r="C20" s="46">
        <f>'[3]Подрядч факт'!$AS$61</f>
        <v>90</v>
      </c>
      <c r="D20" s="33"/>
      <c r="E20" s="51">
        <f t="shared" si="3"/>
        <v>0</v>
      </c>
      <c r="F20" s="46">
        <f>'[5]Подрядч факт'!$AS$63</f>
        <v>0</v>
      </c>
      <c r="G20" s="51">
        <f t="shared" si="2"/>
        <v>0.004913522012578616</v>
      </c>
      <c r="H20" s="52">
        <f t="shared" si="4"/>
        <v>90</v>
      </c>
    </row>
    <row r="21" spans="1:8" ht="25.5">
      <c r="A21" s="13" t="s">
        <v>41</v>
      </c>
      <c r="B21" s="51">
        <f t="shared" si="1"/>
        <v>0.635</v>
      </c>
      <c r="C21" s="46">
        <f>'[1]Подрядч'!$L$61*C12</f>
        <v>5815.584000000001</v>
      </c>
      <c r="D21" s="33"/>
      <c r="E21" s="51">
        <f t="shared" si="3"/>
        <v>0.635</v>
      </c>
      <c r="F21" s="46">
        <f>'[1]Подрядч'!$L$61*F12</f>
        <v>5815.584000000001</v>
      </c>
      <c r="G21" s="51">
        <f t="shared" si="2"/>
        <v>0.635</v>
      </c>
      <c r="H21" s="46">
        <f t="shared" si="4"/>
        <v>11631.168000000001</v>
      </c>
    </row>
    <row r="22" spans="1:8" ht="25.5">
      <c r="A22" s="13" t="s">
        <v>42</v>
      </c>
      <c r="B22" s="51">
        <f t="shared" si="1"/>
        <v>0.36</v>
      </c>
      <c r="C22" s="46">
        <f>'[1]Подрядч'!$M$61*C12</f>
        <v>3297.0240000000003</v>
      </c>
      <c r="D22" s="33"/>
      <c r="E22" s="51">
        <f t="shared" si="3"/>
        <v>0.36</v>
      </c>
      <c r="F22" s="46">
        <f>'[1]Подрядч'!$M$61*F12</f>
        <v>3297.0240000000003</v>
      </c>
      <c r="G22" s="51">
        <f t="shared" si="2"/>
        <v>0.36</v>
      </c>
      <c r="H22" s="46">
        <f t="shared" si="4"/>
        <v>6594.048000000001</v>
      </c>
    </row>
    <row r="23" spans="1:8" ht="26.25" thickBot="1">
      <c r="A23" s="35" t="s">
        <v>43</v>
      </c>
      <c r="B23" s="54">
        <f t="shared" si="1"/>
        <v>0.21879999999999997</v>
      </c>
      <c r="C23" s="55">
        <f>'[1]Подрядч'!$P$61*C12</f>
        <v>2003.85792</v>
      </c>
      <c r="D23" s="36"/>
      <c r="E23" s="51">
        <f t="shared" si="3"/>
        <v>0.24</v>
      </c>
      <c r="F23" s="55">
        <f>'[5]Подрядч'!$R$69*F12</f>
        <v>2198.016</v>
      </c>
      <c r="G23" s="51">
        <f t="shared" si="2"/>
        <v>0.2294</v>
      </c>
      <c r="H23" s="46">
        <f t="shared" si="4"/>
        <v>4201.87392</v>
      </c>
    </row>
    <row r="24" spans="1:8" ht="38.25" customHeight="1" thickBot="1">
      <c r="A24" s="39" t="s">
        <v>13</v>
      </c>
      <c r="B24" s="15">
        <f>C24/C12/B11</f>
        <v>7.402927315966096</v>
      </c>
      <c r="C24" s="43">
        <f>C25+C39+C70</f>
        <v>67798.9695305439</v>
      </c>
      <c r="D24" s="40">
        <f>D25+D39+D63</f>
        <v>47455.878330543885</v>
      </c>
      <c r="E24" s="15">
        <f>F24/F12/E11</f>
        <v>10.160032250873115</v>
      </c>
      <c r="F24" s="43">
        <f>F25+F39+F70</f>
        <v>93049.63936639634</v>
      </c>
      <c r="G24" s="15">
        <f>H24/H12/G11</f>
        <v>8.781479783419606</v>
      </c>
      <c r="H24" s="43">
        <f>H25+H39+H70</f>
        <v>160848.60889694025</v>
      </c>
    </row>
    <row r="25" spans="1:8" ht="13.5" thickBot="1">
      <c r="A25" s="37" t="s">
        <v>2</v>
      </c>
      <c r="B25" s="38">
        <f>C25/B11/C12</f>
        <v>1.5047521401118098</v>
      </c>
      <c r="C25" s="115">
        <f>SUM(C26:C29)</f>
        <v>13781.122</v>
      </c>
      <c r="D25" s="113">
        <f>SUM(D26:D34)</f>
        <v>2871.31</v>
      </c>
      <c r="E25" s="116">
        <f>F25/E11/F12</f>
        <v>2.142338238513954</v>
      </c>
      <c r="F25" s="117">
        <f>SUM(F26:F29)</f>
        <v>19620.3905236062</v>
      </c>
      <c r="G25" s="118">
        <f>H25/G11/H12</f>
        <v>1.823545189312882</v>
      </c>
      <c r="H25" s="117">
        <f>SUM(H26:H29)</f>
        <v>33401.5125236062</v>
      </c>
    </row>
    <row r="26" spans="1:8" ht="12.75" hidden="1">
      <c r="A26" s="17" t="s">
        <v>3</v>
      </c>
      <c r="B26" s="51">
        <f>'[1]МУП'!$R$61</f>
        <v>0.6</v>
      </c>
      <c r="C26" s="46">
        <f>B26*$B$11*$C$12</f>
        <v>5495.04</v>
      </c>
      <c r="D26" s="90"/>
      <c r="E26" s="99">
        <f>'[5]МУП'!$V$69</f>
        <v>0.7357128363614086</v>
      </c>
      <c r="F26" s="46">
        <f>E26*$E$11*$F$12</f>
        <v>6737.9524405323245</v>
      </c>
      <c r="G26" s="51">
        <f>H26/$H$12/$G$11</f>
        <v>0.6678564181807043</v>
      </c>
      <c r="H26" s="46">
        <f>F26+C26</f>
        <v>12232.992440532325</v>
      </c>
    </row>
    <row r="27" spans="1:8" s="6" customFormat="1" ht="12.75" hidden="1">
      <c r="A27" s="17" t="s">
        <v>22</v>
      </c>
      <c r="B27" s="51">
        <f>B26*20%</f>
        <v>0.12</v>
      </c>
      <c r="C27" s="46">
        <f>B27*$B$11*$C$12</f>
        <v>1099.008</v>
      </c>
      <c r="D27" s="95"/>
      <c r="E27" s="99">
        <f>E26*20%</f>
        <v>0.14714256727228173</v>
      </c>
      <c r="F27" s="46">
        <f>E27*$E$11*$F$12</f>
        <v>1347.590488106465</v>
      </c>
      <c r="G27" s="51">
        <f>H27/$H$12/$G$11</f>
        <v>0.13357128363614088</v>
      </c>
      <c r="H27" s="46">
        <f>F27+C27</f>
        <v>2446.598488106465</v>
      </c>
    </row>
    <row r="28" spans="1:8" s="6" customFormat="1" ht="12.75" hidden="1">
      <c r="A28" s="17" t="s">
        <v>11</v>
      </c>
      <c r="B28" s="51">
        <f>C28/C12/B11</f>
        <v>0.07475214011180992</v>
      </c>
      <c r="C28" s="46">
        <f>'[4]мат-лы год'!$O$69</f>
        <v>684.61</v>
      </c>
      <c r="D28" s="95"/>
      <c r="E28" s="99">
        <f>F28/F12/E11</f>
        <v>0.20439705625436752</v>
      </c>
      <c r="F28" s="46">
        <f>'[6]мат-лы год'!$O$69+1149.5-683.09-720.36</f>
        <v>1871.9499999999998</v>
      </c>
      <c r="G28" s="51">
        <f>H28/$H$12/$G$11</f>
        <v>0.13957459818308873</v>
      </c>
      <c r="H28" s="46">
        <f>F28+C28</f>
        <v>2556.56</v>
      </c>
    </row>
    <row r="29" spans="1:8" ht="12.75" hidden="1">
      <c r="A29" s="17" t="s">
        <v>23</v>
      </c>
      <c r="B29" s="51">
        <f>'[1]МУП'!$X$61</f>
        <v>0.71</v>
      </c>
      <c r="C29" s="46">
        <f>B29*$B$11*$C$12</f>
        <v>6502.464</v>
      </c>
      <c r="D29" s="87"/>
      <c r="E29" s="99">
        <f>'[5]МУП'!$AB$69+'[5]МУП'!$AD$69+'[5]МУП'!$AH$69</f>
        <v>1.055085778625896</v>
      </c>
      <c r="F29" s="46">
        <f>E29*$E$11*$F$12</f>
        <v>9662.897594967408</v>
      </c>
      <c r="G29" s="51">
        <f>H29/$H$12/$G$11</f>
        <v>0.882542889312948</v>
      </c>
      <c r="H29" s="46">
        <f>F29+C29</f>
        <v>16165.361594967408</v>
      </c>
    </row>
    <row r="30" spans="1:8" s="24" customFormat="1" ht="28.5" customHeight="1">
      <c r="A30" s="83" t="s">
        <v>60</v>
      </c>
      <c r="B30" s="21"/>
      <c r="C30" s="44"/>
      <c r="D30" s="96">
        <v>337.61</v>
      </c>
      <c r="E30" s="20"/>
      <c r="F30" s="44"/>
      <c r="G30" s="21"/>
      <c r="H30" s="44"/>
    </row>
    <row r="31" spans="1:8" s="24" customFormat="1" ht="13.5" customHeight="1">
      <c r="A31" s="20" t="s">
        <v>61</v>
      </c>
      <c r="B31" s="21"/>
      <c r="C31" s="44"/>
      <c r="D31" s="96"/>
      <c r="E31" s="20"/>
      <c r="F31" s="44"/>
      <c r="G31" s="21"/>
      <c r="H31" s="44"/>
    </row>
    <row r="32" spans="1:8" s="24" customFormat="1" ht="13.5" customHeight="1">
      <c r="A32" s="20" t="s">
        <v>62</v>
      </c>
      <c r="B32" s="21"/>
      <c r="C32" s="44"/>
      <c r="D32" s="96"/>
      <c r="E32" s="20"/>
      <c r="F32" s="44"/>
      <c r="G32" s="21"/>
      <c r="H32" s="44"/>
    </row>
    <row r="33" spans="1:8" s="24" customFormat="1" ht="13.5" customHeight="1">
      <c r="A33" s="20" t="s">
        <v>63</v>
      </c>
      <c r="B33" s="21"/>
      <c r="C33" s="44"/>
      <c r="D33" s="96">
        <v>2533.7</v>
      </c>
      <c r="E33" s="20"/>
      <c r="F33" s="44"/>
      <c r="G33" s="21"/>
      <c r="H33" s="44"/>
    </row>
    <row r="34" spans="1:8" s="24" customFormat="1" ht="13.5" customHeight="1">
      <c r="A34" s="20" t="s">
        <v>65</v>
      </c>
      <c r="B34" s="21"/>
      <c r="C34" s="44"/>
      <c r="D34" s="97"/>
      <c r="E34" s="20"/>
      <c r="F34" s="44"/>
      <c r="G34" s="21"/>
      <c r="H34" s="44"/>
    </row>
    <row r="35" spans="1:8" s="24" customFormat="1" ht="13.5" customHeight="1">
      <c r="A35" s="20" t="s">
        <v>66</v>
      </c>
      <c r="B35" s="21"/>
      <c r="C35" s="44"/>
      <c r="D35" s="98"/>
      <c r="E35" s="20"/>
      <c r="F35" s="44"/>
      <c r="G35" s="21"/>
      <c r="H35" s="44"/>
    </row>
    <row r="36" spans="1:8" s="24" customFormat="1" ht="13.5" customHeight="1">
      <c r="A36" s="20" t="s">
        <v>67</v>
      </c>
      <c r="B36" s="21"/>
      <c r="C36" s="44"/>
      <c r="D36" s="98"/>
      <c r="E36" s="20"/>
      <c r="F36" s="44"/>
      <c r="G36" s="21"/>
      <c r="H36" s="44"/>
    </row>
    <row r="37" spans="1:8" s="24" customFormat="1" ht="13.5" customHeight="1">
      <c r="A37" s="20" t="s">
        <v>71</v>
      </c>
      <c r="B37" s="21"/>
      <c r="C37" s="44"/>
      <c r="D37" s="98"/>
      <c r="E37" s="20"/>
      <c r="F37" s="44"/>
      <c r="G37" s="21"/>
      <c r="H37" s="44"/>
    </row>
    <row r="38" spans="1:8" s="24" customFormat="1" ht="13.5" customHeight="1" thickBot="1">
      <c r="A38" s="20" t="s">
        <v>75</v>
      </c>
      <c r="B38" s="21"/>
      <c r="C38" s="44"/>
      <c r="D38" s="98"/>
      <c r="E38" s="20"/>
      <c r="F38" s="44"/>
      <c r="G38" s="21"/>
      <c r="H38" s="44"/>
    </row>
    <row r="39" spans="1:8" ht="13.5" thickBot="1">
      <c r="A39" s="14" t="s">
        <v>4</v>
      </c>
      <c r="B39" s="7">
        <f>C39/B11/C12</f>
        <v>2.506827524458421</v>
      </c>
      <c r="C39" s="42">
        <f>SUM(C40:C43)</f>
        <v>22958.529200000004</v>
      </c>
      <c r="D39" s="113">
        <f>SUM(D40:D62)</f>
        <v>195.91</v>
      </c>
      <c r="E39" s="114">
        <f>F39/E11/F12</f>
        <v>3.358409519550961</v>
      </c>
      <c r="F39" s="42">
        <f>SUM(F40:F43)</f>
        <v>30757.657743855525</v>
      </c>
      <c r="G39" s="7">
        <f>H39/G11/H12</f>
        <v>2.932618522004691</v>
      </c>
      <c r="H39" s="42">
        <f>SUM(H40:H43)</f>
        <v>53716.18694385553</v>
      </c>
    </row>
    <row r="40" spans="1:8" ht="12.75" hidden="1">
      <c r="A40" s="17" t="s">
        <v>3</v>
      </c>
      <c r="B40" s="51">
        <f>'[1]МУП'!$AH$61</f>
        <v>1.04</v>
      </c>
      <c r="C40" s="46">
        <f>B40*$B$11*$C$12</f>
        <v>9524.736</v>
      </c>
      <c r="D40" s="90"/>
      <c r="E40" s="99">
        <f>'[5]МУП'!$AZ$69</f>
        <v>1.2671355712236911</v>
      </c>
      <c r="F40" s="46">
        <f>E40*$E$11*$F$12</f>
        <v>11604.934415495054</v>
      </c>
      <c r="G40" s="51">
        <f>H40/$H$12/$G$11</f>
        <v>1.1535677856118458</v>
      </c>
      <c r="H40" s="46">
        <f>F40+C40</f>
        <v>21129.670415495057</v>
      </c>
    </row>
    <row r="41" spans="1:8" s="6" customFormat="1" ht="12.75" hidden="1">
      <c r="A41" s="17" t="s">
        <v>22</v>
      </c>
      <c r="B41" s="51">
        <f>B40*20%</f>
        <v>0.20800000000000002</v>
      </c>
      <c r="C41" s="46">
        <f>B41*$B$11*$C$12</f>
        <v>1904.9472000000003</v>
      </c>
      <c r="D41" s="95"/>
      <c r="E41" s="99">
        <f>E40*20%</f>
        <v>0.25342711424473824</v>
      </c>
      <c r="F41" s="46">
        <f>E41*$E$11*$F$12</f>
        <v>2320.986883099011</v>
      </c>
      <c r="G41" s="51">
        <f>H41/$H$12/$G$11</f>
        <v>0.23071355712236913</v>
      </c>
      <c r="H41" s="46">
        <f>F41+C41</f>
        <v>4225.934083099011</v>
      </c>
    </row>
    <row r="42" spans="1:8" s="6" customFormat="1" ht="12.75" hidden="1">
      <c r="A42" s="17" t="s">
        <v>11</v>
      </c>
      <c r="B42" s="51">
        <f>C42/C12/B11</f>
        <v>0.018827524458420685</v>
      </c>
      <c r="C42" s="46">
        <f>'[4]мат-лы год'!$P$69</f>
        <v>172.43</v>
      </c>
      <c r="D42" s="95"/>
      <c r="E42" s="99">
        <f>F42/F12/E11</f>
        <v>0.02064771139063592</v>
      </c>
      <c r="F42" s="46">
        <f>'[6]мат-лы год'!$P$69</f>
        <v>189.1</v>
      </c>
      <c r="G42" s="51">
        <f>H42/$H$12/$G$11</f>
        <v>0.0197376179245283</v>
      </c>
      <c r="H42" s="46">
        <f>F42+C42</f>
        <v>361.53</v>
      </c>
    </row>
    <row r="43" spans="1:8" ht="12.75" hidden="1">
      <c r="A43" s="17" t="s">
        <v>23</v>
      </c>
      <c r="B43" s="51">
        <f>'[1]МУП'!$AN$61</f>
        <v>1.24</v>
      </c>
      <c r="C43" s="46">
        <f>B43*$B$11*$C$12</f>
        <v>11356.416000000001</v>
      </c>
      <c r="D43" s="87"/>
      <c r="E43" s="99">
        <f>'[5]МУП'!$BF$69+'[5]МУП'!$BH$69+'[5]МУП'!$BL$69</f>
        <v>1.8171991226918958</v>
      </c>
      <c r="F43" s="46">
        <f>E43*$E$11*$F$12</f>
        <v>16642.636445261458</v>
      </c>
      <c r="G43" s="51">
        <f>H43/$H$12/$G$11</f>
        <v>1.5285995613459478</v>
      </c>
      <c r="H43" s="46">
        <f>F43+C43</f>
        <v>27999.05244526146</v>
      </c>
    </row>
    <row r="44" spans="1:8" ht="12.75">
      <c r="A44" s="146" t="s">
        <v>14</v>
      </c>
      <c r="B44" s="147"/>
      <c r="C44" s="148"/>
      <c r="D44" s="87"/>
      <c r="E44" s="100"/>
      <c r="F44" s="91"/>
      <c r="G44" s="91"/>
      <c r="H44" s="101"/>
    </row>
    <row r="45" spans="1:8" ht="12.75">
      <c r="A45" s="143" t="s">
        <v>64</v>
      </c>
      <c r="B45" s="144"/>
      <c r="C45" s="145"/>
      <c r="D45" s="87"/>
      <c r="E45" s="100"/>
      <c r="F45" s="91"/>
      <c r="G45" s="91"/>
      <c r="H45" s="101"/>
    </row>
    <row r="46" spans="1:8" ht="12.75">
      <c r="A46" s="61" t="s">
        <v>56</v>
      </c>
      <c r="B46" s="31"/>
      <c r="C46" s="45"/>
      <c r="D46" s="87"/>
      <c r="E46" s="30"/>
      <c r="F46" s="92"/>
      <c r="G46" s="92"/>
      <c r="H46" s="102"/>
    </row>
    <row r="47" spans="1:8" ht="12.75" hidden="1">
      <c r="A47" s="30"/>
      <c r="B47" s="31"/>
      <c r="C47" s="45"/>
      <c r="D47" s="87"/>
      <c r="E47" s="30"/>
      <c r="F47" s="92"/>
      <c r="G47" s="92"/>
      <c r="H47" s="102"/>
    </row>
    <row r="48" spans="1:8" ht="12.75" hidden="1">
      <c r="A48" s="146" t="s">
        <v>15</v>
      </c>
      <c r="B48" s="147"/>
      <c r="C48" s="148"/>
      <c r="D48" s="87"/>
      <c r="E48" s="100"/>
      <c r="F48" s="91"/>
      <c r="G48" s="91"/>
      <c r="H48" s="101"/>
    </row>
    <row r="49" spans="1:8" ht="12.75" hidden="1">
      <c r="A49" s="143"/>
      <c r="B49" s="144"/>
      <c r="C49" s="145"/>
      <c r="D49" s="87"/>
      <c r="E49" s="100"/>
      <c r="F49" s="91"/>
      <c r="G49" s="91"/>
      <c r="H49" s="101"/>
    </row>
    <row r="50" spans="1:8" ht="12.75" hidden="1">
      <c r="A50" s="30"/>
      <c r="B50" s="31"/>
      <c r="C50" s="45"/>
      <c r="D50" s="87"/>
      <c r="E50" s="30"/>
      <c r="F50" s="92"/>
      <c r="G50" s="92"/>
      <c r="H50" s="102"/>
    </row>
    <row r="51" spans="1:8" ht="12.75" hidden="1">
      <c r="A51" s="30"/>
      <c r="B51" s="31"/>
      <c r="C51" s="45"/>
      <c r="D51" s="87"/>
      <c r="E51" s="30"/>
      <c r="F51" s="92"/>
      <c r="G51" s="92"/>
      <c r="H51" s="102"/>
    </row>
    <row r="52" spans="1:8" ht="12.75" hidden="1">
      <c r="A52" s="146" t="s">
        <v>30</v>
      </c>
      <c r="B52" s="147"/>
      <c r="C52" s="148"/>
      <c r="D52" s="87"/>
      <c r="E52" s="100"/>
      <c r="F52" s="91"/>
      <c r="G52" s="91"/>
      <c r="H52" s="101"/>
    </row>
    <row r="53" spans="1:8" s="29" customFormat="1" ht="12.75" hidden="1">
      <c r="A53" s="48"/>
      <c r="B53" s="28"/>
      <c r="C53" s="49"/>
      <c r="D53" s="88"/>
      <c r="E53" s="27"/>
      <c r="F53" s="93"/>
      <c r="G53" s="93"/>
      <c r="H53" s="103"/>
    </row>
    <row r="54" spans="1:8" s="29" customFormat="1" ht="12.75" hidden="1">
      <c r="A54" s="27"/>
      <c r="B54" s="28"/>
      <c r="C54" s="49"/>
      <c r="D54" s="88"/>
      <c r="E54" s="27"/>
      <c r="F54" s="93"/>
      <c r="G54" s="93"/>
      <c r="H54" s="103"/>
    </row>
    <row r="55" spans="1:8" s="29" customFormat="1" ht="12.75" hidden="1">
      <c r="A55" s="27"/>
      <c r="B55" s="28"/>
      <c r="C55" s="49"/>
      <c r="D55" s="88"/>
      <c r="E55" s="27"/>
      <c r="F55" s="93"/>
      <c r="G55" s="93"/>
      <c r="H55" s="103"/>
    </row>
    <row r="56" spans="1:8" ht="12.75" hidden="1">
      <c r="A56" s="143"/>
      <c r="B56" s="144"/>
      <c r="C56" s="145"/>
      <c r="D56" s="87"/>
      <c r="E56" s="100"/>
      <c r="F56" s="91"/>
      <c r="G56" s="91"/>
      <c r="H56" s="101"/>
    </row>
    <row r="57" spans="1:8" ht="12.75" hidden="1">
      <c r="A57" s="143"/>
      <c r="B57" s="144"/>
      <c r="C57" s="145"/>
      <c r="D57" s="87"/>
      <c r="E57" s="100"/>
      <c r="F57" s="91"/>
      <c r="G57" s="91"/>
      <c r="H57" s="101"/>
    </row>
    <row r="58" spans="1:8" ht="12.75">
      <c r="A58" s="149" t="s">
        <v>16</v>
      </c>
      <c r="B58" s="150"/>
      <c r="C58" s="148"/>
      <c r="D58" s="87">
        <f>29.35+166.56</f>
        <v>195.91</v>
      </c>
      <c r="E58" s="100"/>
      <c r="F58" s="91"/>
      <c r="G58" s="91"/>
      <c r="H58" s="101"/>
    </row>
    <row r="59" spans="1:8" ht="13.5" thickBot="1">
      <c r="A59" s="26" t="s">
        <v>74</v>
      </c>
      <c r="B59" s="25"/>
      <c r="C59" s="47"/>
      <c r="D59" s="87"/>
      <c r="E59" s="84"/>
      <c r="F59" s="94"/>
      <c r="G59" s="94"/>
      <c r="H59" s="104"/>
    </row>
    <row r="60" spans="1:8" ht="13.5" hidden="1" thickBot="1">
      <c r="A60" s="26"/>
      <c r="B60" s="25"/>
      <c r="C60" s="47"/>
      <c r="D60" s="87"/>
      <c r="E60" s="84"/>
      <c r="F60" s="94"/>
      <c r="G60" s="94"/>
      <c r="H60" s="104"/>
    </row>
    <row r="61" spans="1:8" ht="13.5" hidden="1" thickBot="1">
      <c r="A61" s="26"/>
      <c r="B61" s="25"/>
      <c r="C61" s="47"/>
      <c r="D61" s="87"/>
      <c r="E61" s="84"/>
      <c r="F61" s="94"/>
      <c r="G61" s="94"/>
      <c r="H61" s="104"/>
    </row>
    <row r="62" spans="1:8" ht="13.5" hidden="1" thickBot="1">
      <c r="A62" s="140"/>
      <c r="B62" s="141"/>
      <c r="C62" s="142"/>
      <c r="D62" s="89"/>
      <c r="E62" s="100"/>
      <c r="F62" s="91"/>
      <c r="G62" s="91"/>
      <c r="H62" s="101"/>
    </row>
    <row r="63" spans="1:8" ht="13.5" thickBot="1">
      <c r="A63" s="14" t="s">
        <v>5</v>
      </c>
      <c r="B63" s="7">
        <f>C63/B11/C12</f>
        <v>4.846769995910189</v>
      </c>
      <c r="C63" s="42">
        <f>SUM(C64:C67)</f>
        <v>44388.65833054388</v>
      </c>
      <c r="D63" s="109">
        <f>C63</f>
        <v>44388.65833054388</v>
      </c>
      <c r="E63" s="110">
        <f>F63/E11/F12</f>
        <v>6.656781872263127</v>
      </c>
      <c r="F63" s="111">
        <f>SUM(F64:F67)</f>
        <v>60965.47109893462</v>
      </c>
      <c r="G63" s="111">
        <f>H63/G11/H12</f>
        <v>5.751775934086658</v>
      </c>
      <c r="H63" s="112">
        <f>SUM(H64:H67)</f>
        <v>105354.1294294785</v>
      </c>
    </row>
    <row r="64" spans="1:8" ht="12.75" hidden="1">
      <c r="A64" s="17" t="s">
        <v>24</v>
      </c>
      <c r="B64" s="51">
        <f>'[2]МУП'!$BC$61</f>
        <v>1.962253260984169</v>
      </c>
      <c r="C64" s="46">
        <f>B64*$B$11*$C$12</f>
        <v>17971.100265397414</v>
      </c>
      <c r="D64" s="90"/>
      <c r="E64" s="105">
        <f>'[5]МУП'!$BW$69</f>
        <v>2.4663985023414696</v>
      </c>
      <c r="F64" s="85">
        <f>E64*$E$11*$F$12</f>
        <v>22588.264043844116</v>
      </c>
      <c r="G64" s="85">
        <f>H64/$H$12/$G$11</f>
        <v>2.2143258816628193</v>
      </c>
      <c r="H64" s="86">
        <f>F64+C64</f>
        <v>40559.36430924153</v>
      </c>
    </row>
    <row r="65" spans="1:8" ht="12.75" hidden="1">
      <c r="A65" s="17" t="s">
        <v>22</v>
      </c>
      <c r="B65" s="51">
        <f>B64*20%</f>
        <v>0.39245065219683384</v>
      </c>
      <c r="C65" s="46">
        <f>B65*$B$11*$C$12</f>
        <v>3594.2200530794835</v>
      </c>
      <c r="D65" s="87"/>
      <c r="E65" s="105">
        <f>E64*20%</f>
        <v>0.49327970046829395</v>
      </c>
      <c r="F65" s="85">
        <f>E65*$E$11*$F$12</f>
        <v>4517.652808768824</v>
      </c>
      <c r="G65" s="85">
        <f>H65/$H$12/$G$11</f>
        <v>0.4428651763325639</v>
      </c>
      <c r="H65" s="86">
        <f>F65+C65</f>
        <v>8111.872861848307</v>
      </c>
    </row>
    <row r="66" spans="1:8" ht="12.75" hidden="1">
      <c r="A66" s="17" t="s">
        <v>11</v>
      </c>
      <c r="B66" s="51">
        <f>C66/C12/B11</f>
        <v>0.08804057744392511</v>
      </c>
      <c r="C66" s="46">
        <f>'[4]мат-лы год'!$Q$69</f>
        <v>806.3108244624439</v>
      </c>
      <c r="D66" s="87"/>
      <c r="E66" s="105">
        <f>F66/F12/E11</f>
        <v>0.17114037050599842</v>
      </c>
      <c r="F66" s="85">
        <f>'[6]мат-лы год'!$Q$69</f>
        <v>1567.3719692421362</v>
      </c>
      <c r="G66" s="85">
        <f>H66/$H$12/$G$11</f>
        <v>0.1295904739749618</v>
      </c>
      <c r="H66" s="86">
        <f>F66+C66</f>
        <v>2373.68279370458</v>
      </c>
    </row>
    <row r="67" spans="1:8" ht="12.75" hidden="1">
      <c r="A67" s="17" t="s">
        <v>23</v>
      </c>
      <c r="B67" s="51">
        <f>'[2]МУП'!$BJ$61</f>
        <v>2.404025505285261</v>
      </c>
      <c r="C67" s="46">
        <f>B67*$B$11*$C$12</f>
        <v>22017.027187604537</v>
      </c>
      <c r="D67" s="87"/>
      <c r="E67" s="105">
        <f>'[5]МУП'!$CD$69+'[5]МУП'!$CF$69+'[5]МУП'!$CJ$69</f>
        <v>3.5259632989473646</v>
      </c>
      <c r="F67" s="85">
        <f>E67*$E$11*$F$12</f>
        <v>32292.182277079548</v>
      </c>
      <c r="G67" s="85">
        <f>H67/$H$12/$G$11</f>
        <v>2.964994402116313</v>
      </c>
      <c r="H67" s="86">
        <f>F67+C67</f>
        <v>54309.209464684085</v>
      </c>
    </row>
    <row r="68" spans="1:8" s="126" customFormat="1" ht="28.5">
      <c r="A68" s="119" t="s">
        <v>76</v>
      </c>
      <c r="B68" s="120">
        <f>C68/C12/B11</f>
        <v>-1.4554223445143257</v>
      </c>
      <c r="C68" s="121">
        <v>-13329.34</v>
      </c>
      <c r="D68" s="122"/>
      <c r="E68" s="123">
        <f>F68/F12/E11</f>
        <v>-1.9974973794549264</v>
      </c>
      <c r="F68" s="124">
        <v>-18293.88</v>
      </c>
      <c r="G68" s="124">
        <f>H68/H12/G11</f>
        <v>-1.726459861984626</v>
      </c>
      <c r="H68" s="125">
        <f>F68+C68</f>
        <v>-31623.22</v>
      </c>
    </row>
    <row r="69" spans="1:8" s="134" customFormat="1" ht="12.75">
      <c r="A69" s="14"/>
      <c r="B69" s="127"/>
      <c r="C69" s="128"/>
      <c r="D69" s="129"/>
      <c r="E69" s="130"/>
      <c r="F69" s="131"/>
      <c r="G69" s="132"/>
      <c r="H69" s="133"/>
    </row>
    <row r="70" spans="1:8" s="126" customFormat="1" ht="14.25">
      <c r="A70" s="135" t="s">
        <v>77</v>
      </c>
      <c r="B70" s="123">
        <f>C70/C12/B11</f>
        <v>3.391347651395864</v>
      </c>
      <c r="C70" s="124">
        <f>C63+C68</f>
        <v>31059.318330543883</v>
      </c>
      <c r="D70" s="122"/>
      <c r="E70" s="123">
        <f>F70/F12/E11</f>
        <v>4.659284492808199</v>
      </c>
      <c r="F70" s="124">
        <f>F63+F68</f>
        <v>42671.591098934616</v>
      </c>
      <c r="G70" s="123">
        <f>H70/H12/G11</f>
        <v>4.025316072102032</v>
      </c>
      <c r="H70" s="125">
        <f>H63+H68</f>
        <v>73730.9094294785</v>
      </c>
    </row>
    <row r="71" spans="1:8" ht="12.75">
      <c r="A71" s="140" t="s">
        <v>17</v>
      </c>
      <c r="B71" s="141"/>
      <c r="C71" s="142"/>
      <c r="D71" s="87"/>
      <c r="E71" s="100"/>
      <c r="F71" s="91"/>
      <c r="G71" s="91"/>
      <c r="H71" s="101"/>
    </row>
    <row r="72" spans="1:8" ht="12.75">
      <c r="A72" s="140" t="s">
        <v>18</v>
      </c>
      <c r="B72" s="141"/>
      <c r="C72" s="142"/>
      <c r="D72" s="87"/>
      <c r="E72" s="100"/>
      <c r="F72" s="91"/>
      <c r="G72" s="91"/>
      <c r="H72" s="101"/>
    </row>
    <row r="73" spans="1:8" ht="12.75">
      <c r="A73" s="140" t="s">
        <v>19</v>
      </c>
      <c r="B73" s="141"/>
      <c r="C73" s="142"/>
      <c r="D73" s="87"/>
      <c r="E73" s="100"/>
      <c r="F73" s="91"/>
      <c r="G73" s="91"/>
      <c r="H73" s="101"/>
    </row>
    <row r="74" spans="1:8" ht="12.75">
      <c r="A74" s="56" t="s">
        <v>32</v>
      </c>
      <c r="B74" s="57"/>
      <c r="C74" s="58"/>
      <c r="D74" s="87"/>
      <c r="E74" s="56"/>
      <c r="F74" s="58"/>
      <c r="G74" s="57"/>
      <c r="H74" s="58"/>
    </row>
    <row r="75" spans="1:8" ht="13.5" customHeight="1">
      <c r="A75" s="56" t="s">
        <v>33</v>
      </c>
      <c r="B75" s="57"/>
      <c r="C75" s="58"/>
      <c r="D75" s="87"/>
      <c r="E75" s="56"/>
      <c r="F75" s="58"/>
      <c r="G75" s="57"/>
      <c r="H75" s="58"/>
    </row>
    <row r="76" spans="1:8" ht="12.75">
      <c r="A76" s="56" t="s">
        <v>34</v>
      </c>
      <c r="B76" s="57"/>
      <c r="C76" s="58"/>
      <c r="D76" s="87"/>
      <c r="E76" s="56"/>
      <c r="F76" s="58"/>
      <c r="G76" s="57"/>
      <c r="H76" s="58"/>
    </row>
    <row r="77" spans="1:8" ht="12.75">
      <c r="A77" s="56" t="s">
        <v>72</v>
      </c>
      <c r="B77" s="57"/>
      <c r="C77" s="58"/>
      <c r="D77" s="87"/>
      <c r="E77" s="56"/>
      <c r="F77" s="58"/>
      <c r="G77" s="57"/>
      <c r="H77" s="58"/>
    </row>
    <row r="78" spans="1:8" ht="13.5" thickBot="1">
      <c r="A78" s="56" t="s">
        <v>46</v>
      </c>
      <c r="B78" s="57"/>
      <c r="C78" s="58"/>
      <c r="D78" s="87"/>
      <c r="E78" s="106"/>
      <c r="F78" s="107"/>
      <c r="G78" s="108"/>
      <c r="H78" s="107"/>
    </row>
    <row r="79" spans="1:8" s="1" customFormat="1" ht="13.5" thickBot="1">
      <c r="A79" s="16" t="s">
        <v>1</v>
      </c>
      <c r="B79" s="65">
        <f>B14+B15+B24</f>
        <v>10.885470108466968</v>
      </c>
      <c r="C79" s="43">
        <f>C24+C15+C14</f>
        <v>99693.48944138389</v>
      </c>
      <c r="D79" s="34"/>
      <c r="E79" s="65">
        <f>E14+E15+E24</f>
        <v>12.07434926039443</v>
      </c>
      <c r="F79" s="43">
        <f>F24+F15+F14</f>
        <v>110581.72026639634</v>
      </c>
      <c r="G79" s="65">
        <f>G14+G15+G24</f>
        <v>11.4799096844307</v>
      </c>
      <c r="H79" s="43">
        <f>H24+H15+H14</f>
        <v>210275.20970778025</v>
      </c>
    </row>
    <row r="80" spans="1:8" ht="13.5" hidden="1" thickBot="1">
      <c r="A80" s="5"/>
      <c r="B80" s="66"/>
      <c r="C80" s="5"/>
      <c r="E80" s="66"/>
      <c r="F80" s="5"/>
      <c r="G80" s="66"/>
      <c r="H80" s="5"/>
    </row>
    <row r="81" spans="1:8" s="1" customFormat="1" ht="13.5" hidden="1" thickBot="1">
      <c r="A81" s="4" t="s">
        <v>1</v>
      </c>
      <c r="B81" s="67">
        <f>SUM(B82:B83)</f>
        <v>5922287.577282538</v>
      </c>
      <c r="C81" s="2">
        <f>SUM(C82:C83)</f>
        <v>54965.32626539741</v>
      </c>
      <c r="E81" s="67">
        <f>SUM(E82:E83)</f>
        <v>374090.70886560285</v>
      </c>
      <c r="F81" s="2">
        <f>SUM(F82:F83)</f>
        <v>62905.6008998715</v>
      </c>
      <c r="G81" s="67">
        <f>SUM(G82:G83)</f>
        <v>1080906.6810298811</v>
      </c>
      <c r="H81" s="2">
        <f>SUM(H82:H83)</f>
        <v>95896.47716526891</v>
      </c>
    </row>
    <row r="82" spans="1:8" ht="13.5" hidden="1" thickBot="1">
      <c r="A82" s="3" t="s">
        <v>6</v>
      </c>
      <c r="B82" s="67">
        <f>C82/B19</f>
        <v>3554631.072811949</v>
      </c>
      <c r="C82" s="2">
        <f>C26+C40+C64</f>
        <v>32990.87626539741</v>
      </c>
      <c r="E82" s="67">
        <f>F82/E19</f>
        <v>243411.76359145416</v>
      </c>
      <c r="F82" s="2">
        <f>F26+F40+F64</f>
        <v>40931.15089987149</v>
      </c>
      <c r="G82" s="67">
        <f>H82/G19</f>
        <v>833219.4820932394</v>
      </c>
      <c r="H82" s="2">
        <f>H26+H40+H64</f>
        <v>73922.02716526891</v>
      </c>
    </row>
    <row r="83" spans="1:8" ht="13.5" hidden="1" thickBot="1">
      <c r="A83" s="3" t="s">
        <v>7</v>
      </c>
      <c r="B83" s="67">
        <f>C83/B19</f>
        <v>2367656.5044705886</v>
      </c>
      <c r="C83" s="2">
        <v>21974.45</v>
      </c>
      <c r="E83" s="67">
        <f>F83/E19</f>
        <v>130678.94527414872</v>
      </c>
      <c r="F83" s="2">
        <v>21974.45</v>
      </c>
      <c r="G83" s="67">
        <f>H83/G19</f>
        <v>247687.1989366416</v>
      </c>
      <c r="H83" s="2">
        <v>21974.45</v>
      </c>
    </row>
    <row r="84" spans="1:8" ht="13.5" hidden="1" thickBot="1">
      <c r="A84" s="3"/>
      <c r="B84" s="68"/>
      <c r="C84" s="3"/>
      <c r="E84" s="68"/>
      <c r="F84" s="3"/>
      <c r="G84" s="68"/>
      <c r="H84" s="3"/>
    </row>
    <row r="85" spans="1:8" ht="13.5" hidden="1" thickBot="1">
      <c r="A85" s="3"/>
      <c r="B85" s="68"/>
      <c r="C85" s="3"/>
      <c r="E85" s="68"/>
      <c r="F85" s="3"/>
      <c r="G85" s="68"/>
      <c r="H85" s="3"/>
    </row>
    <row r="86" spans="1:8" ht="13.5" hidden="1" thickBot="1">
      <c r="A86" s="3" t="s">
        <v>9</v>
      </c>
      <c r="B86" s="68">
        <v>11.67</v>
      </c>
      <c r="C86" s="3"/>
      <c r="E86" s="68">
        <v>11.67</v>
      </c>
      <c r="F86" s="3"/>
      <c r="G86" s="68">
        <v>11.67</v>
      </c>
      <c r="H86" s="3"/>
    </row>
    <row r="87" spans="1:8" ht="13.5" hidden="1" thickBot="1">
      <c r="A87" s="3" t="s">
        <v>8</v>
      </c>
      <c r="B87" s="68">
        <v>1.7</v>
      </c>
      <c r="C87" s="3"/>
      <c r="E87" s="68">
        <v>1.7</v>
      </c>
      <c r="F87" s="3"/>
      <c r="G87" s="68">
        <v>1.7</v>
      </c>
      <c r="H87" s="3"/>
    </row>
    <row r="88" spans="1:8" ht="13.5" hidden="1" thickBot="1">
      <c r="A88" s="3" t="s">
        <v>0</v>
      </c>
      <c r="B88" s="67">
        <v>8.82</v>
      </c>
      <c r="C88" s="2"/>
      <c r="E88" s="67">
        <v>8.82</v>
      </c>
      <c r="F88" s="2"/>
      <c r="G88" s="67">
        <v>8.82</v>
      </c>
      <c r="H88" s="2"/>
    </row>
    <row r="89" spans="1:8" ht="13.5" hidden="1" thickBot="1">
      <c r="A89" s="62" t="s">
        <v>10</v>
      </c>
      <c r="B89" s="69">
        <f>B86-B87-B88</f>
        <v>1.1500000000000004</v>
      </c>
      <c r="C89" s="63"/>
      <c r="E89" s="69">
        <f>E86-E87-E88</f>
        <v>1.1500000000000004</v>
      </c>
      <c r="F89" s="63"/>
      <c r="G89" s="69">
        <f>G86-G87-G88</f>
        <v>1.1500000000000004</v>
      </c>
      <c r="H89" s="63"/>
    </row>
    <row r="90" spans="1:8" ht="26.25" thickBot="1">
      <c r="A90" s="64" t="s">
        <v>73</v>
      </c>
      <c r="B90" s="80">
        <f>C90/C12/B11</f>
        <v>0</v>
      </c>
      <c r="C90" s="81"/>
      <c r="E90" s="80">
        <f>F90/F12/E11</f>
        <v>0.28247292103424176</v>
      </c>
      <c r="F90" s="81">
        <v>2587</v>
      </c>
      <c r="G90" s="80">
        <f>H90/H12/G11</f>
        <v>0.14123646051712088</v>
      </c>
      <c r="H90" s="81">
        <f>F90+C90</f>
        <v>2587</v>
      </c>
    </row>
    <row r="91" spans="1:8" ht="15" hidden="1">
      <c r="A91" s="10" t="s">
        <v>44</v>
      </c>
      <c r="B91" s="10"/>
      <c r="C91" s="41" t="e">
        <f>#REF!-C79-C90</f>
        <v>#REF!</v>
      </c>
      <c r="E91" s="10"/>
      <c r="F91" s="41" t="e">
        <f>#REF!-F79-F90</f>
        <v>#REF!</v>
      </c>
      <c r="G91" s="10"/>
      <c r="H91" s="41" t="e">
        <f>#REF!-H79-H90</f>
        <v>#REF!</v>
      </c>
    </row>
    <row r="92" spans="1:8" ht="15.75" thickBot="1">
      <c r="A92" s="136" t="s">
        <v>1</v>
      </c>
      <c r="B92" s="139">
        <f>C92/C12/B11</f>
        <v>10.885470108466968</v>
      </c>
      <c r="C92" s="137">
        <f>C90+C79</f>
        <v>99693.48944138389</v>
      </c>
      <c r="D92" s="138"/>
      <c r="E92" s="139">
        <f>F92/F12/E11</f>
        <v>12.35682218142867</v>
      </c>
      <c r="F92" s="137">
        <f>F90+F79</f>
        <v>113168.72026639634</v>
      </c>
      <c r="G92" s="139">
        <f>H92/H12/G11</f>
        <v>11.62114614494782</v>
      </c>
      <c r="H92" s="137">
        <f>H90+H79</f>
        <v>212862.20970778025</v>
      </c>
    </row>
    <row r="93" spans="1:8" ht="15">
      <c r="A93" s="10" t="s">
        <v>57</v>
      </c>
      <c r="B93" s="10"/>
      <c r="E93" s="10"/>
      <c r="F93" s="41"/>
      <c r="G93" s="41">
        <f>165.39+450+135.59+545+450+135.59+450+145.24</f>
        <v>2476.8099999999995</v>
      </c>
      <c r="H93" s="41" t="s">
        <v>78</v>
      </c>
    </row>
    <row r="95" spans="1:8" ht="12.75">
      <c r="A95" s="1" t="s">
        <v>21</v>
      </c>
      <c r="B95" s="1"/>
      <c r="C95" s="1"/>
      <c r="E95" s="1"/>
      <c r="F95" s="1"/>
      <c r="G95" s="1"/>
      <c r="H95" s="1"/>
    </row>
    <row r="96" spans="1:8" ht="12.75">
      <c r="A96" s="1"/>
      <c r="C96" s="1"/>
      <c r="F96" s="1"/>
      <c r="H96" s="1" t="s">
        <v>45</v>
      </c>
    </row>
    <row r="97" spans="3:8" ht="12.75">
      <c r="C97" s="1"/>
      <c r="F97" s="1"/>
      <c r="H97" s="1"/>
    </row>
    <row r="98" spans="3:8" ht="12.75">
      <c r="C98" s="1"/>
      <c r="F98" s="1"/>
      <c r="H98" s="1"/>
    </row>
    <row r="99" spans="1:8" ht="12.75">
      <c r="A99" s="1" t="s">
        <v>25</v>
      </c>
      <c r="C99" s="1"/>
      <c r="F99" s="1"/>
      <c r="H99" s="1"/>
    </row>
    <row r="100" spans="1:8" ht="12.75">
      <c r="A100" s="1"/>
      <c r="C100" s="1"/>
      <c r="F100" s="1"/>
      <c r="H100" s="1" t="s">
        <v>29</v>
      </c>
    </row>
  </sheetData>
  <sheetProtection/>
  <mergeCells count="16">
    <mergeCell ref="G4:H4"/>
    <mergeCell ref="B4:C4"/>
    <mergeCell ref="A48:C48"/>
    <mergeCell ref="A44:C44"/>
    <mergeCell ref="A45:C45"/>
    <mergeCell ref="E4:F4"/>
    <mergeCell ref="A1:H3"/>
    <mergeCell ref="A73:C73"/>
    <mergeCell ref="A49:C49"/>
    <mergeCell ref="A52:C52"/>
    <mergeCell ref="A71:C71"/>
    <mergeCell ref="A72:C72"/>
    <mergeCell ref="A56:C56"/>
    <mergeCell ref="A57:C57"/>
    <mergeCell ref="A58:C58"/>
    <mergeCell ref="A62:C62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2012-03-12T06:44:03Z</cp:lastPrinted>
  <dcterms:created xsi:type="dcterms:W3CDTF">1996-10-08T23:32:33Z</dcterms:created>
  <dcterms:modified xsi:type="dcterms:W3CDTF">2013-05-17T07:42:56Z</dcterms:modified>
  <cp:category/>
  <cp:version/>
  <cp:contentType/>
  <cp:contentStatus/>
</cp:coreProperties>
</file>