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491" windowWidth="15330" windowHeight="7350" tabRatio="829" activeTab="0"/>
  </bookViews>
  <sheets>
    <sheet name="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C44" authorId="0">
      <text>
        <r>
          <rPr>
            <b/>
            <sz val="8"/>
            <rFont val="Tahoma"/>
            <family val="0"/>
          </rPr>
          <t>Главный Бухгалтер:</t>
        </r>
        <r>
          <rPr>
            <sz val="8"/>
            <rFont val="Tahoma"/>
            <family val="0"/>
          </rPr>
          <t xml:space="preserve">
2166- ремонт участка канализации 10.05.2012</t>
        </r>
      </text>
    </comment>
  </commentList>
</comments>
</file>

<file path=xl/sharedStrings.xml><?xml version="1.0" encoding="utf-8"?>
<sst xmlns="http://schemas.openxmlformats.org/spreadsheetml/2006/main" count="101" uniqueCount="84">
  <si>
    <t>МУП "ЖЭУ-2" г. Ставрополя</t>
  </si>
  <si>
    <t>Итого:</t>
  </si>
  <si>
    <t>Обслуживание конструктивных элементов здания</t>
  </si>
  <si>
    <t>Оплата труда:</t>
  </si>
  <si>
    <t>Обслуживание внутридомового оборудования</t>
  </si>
  <si>
    <t>Санитарное содержание придомовой территории</t>
  </si>
  <si>
    <t>Оплата труда</t>
  </si>
  <si>
    <t>Накладные</t>
  </si>
  <si>
    <t>Подрядчики</t>
  </si>
  <si>
    <t>Тариф</t>
  </si>
  <si>
    <t>ООО УК "ЖЭУ-2"</t>
  </si>
  <si>
    <t>Материалы</t>
  </si>
  <si>
    <t>Подрядные организации</t>
  </si>
  <si>
    <r>
      <t xml:space="preserve">Генеральный подрядчик МУП "ЖЭУ-2" г. Ставрополя -  </t>
    </r>
    <r>
      <rPr>
        <i/>
        <sz val="10"/>
        <rFont val="Arial"/>
        <family val="2"/>
      </rPr>
      <t>содержание и техническое обслуживание  многоквартирного дома</t>
    </r>
  </si>
  <si>
    <t>Техническое обслуживание общедомовой системы отопления:</t>
  </si>
  <si>
    <t>Техническое обслуживание общедомовой системы канализации:</t>
  </si>
  <si>
    <t xml:space="preserve">Техническое обслуживание электрических устройств мест общего пользования </t>
  </si>
  <si>
    <t xml:space="preserve"> - подметание свежевыпавшего снега</t>
  </si>
  <si>
    <t xml:space="preserve"> - очистка территории от уплотненного снега</t>
  </si>
  <si>
    <t xml:space="preserve"> - очистка территории от наледи и льда</t>
  </si>
  <si>
    <t>Статьи затрат:</t>
  </si>
  <si>
    <t>Генеральный директор</t>
  </si>
  <si>
    <t>Отчисления на социальные нужды</t>
  </si>
  <si>
    <t>Общецеховые, Общеэксплуатационные расходы</t>
  </si>
  <si>
    <t xml:space="preserve">Оплата труда </t>
  </si>
  <si>
    <t>Ведущий экономист</t>
  </si>
  <si>
    <t>м2</t>
  </si>
  <si>
    <t>Общая площадь дома:</t>
  </si>
  <si>
    <t>руб./1 м2 в месяц</t>
  </si>
  <si>
    <t>С.А. Сычева</t>
  </si>
  <si>
    <t>Техническое обслуживание общедомовой системы холодного водоснабжения</t>
  </si>
  <si>
    <t xml:space="preserve">      </t>
  </si>
  <si>
    <t xml:space="preserve"> - подметание в летний период</t>
  </si>
  <si>
    <t xml:space="preserve"> - транспортировка мусора в установленное место</t>
  </si>
  <si>
    <t xml:space="preserve"> - уборка мусора с газонов</t>
  </si>
  <si>
    <r>
      <t xml:space="preserve">ОАО "Теплосеть" - </t>
    </r>
    <r>
      <rPr>
        <i/>
        <sz val="10"/>
        <rFont val="Arial"/>
        <family val="2"/>
      </rPr>
      <t>обслуживание узла учета тепловой энергии</t>
    </r>
  </si>
  <si>
    <r>
      <t>ООО УК "ЖЭУ-2"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Услуги управления</t>
    </r>
  </si>
  <si>
    <r>
      <t>ОАО "СГРЦ"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начисление и сбор платежей</t>
    </r>
  </si>
  <si>
    <r>
      <t>ООО "Печник"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обследование вентканалов</t>
    </r>
  </si>
  <si>
    <r>
      <t xml:space="preserve">ООО "Ставропольгоргаз"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обслуживание фасадной разводки</t>
    </r>
  </si>
  <si>
    <r>
      <t>ООО "Микст"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дезинсекцияция (площадь подвала- м2)</t>
    </r>
  </si>
  <si>
    <r>
      <t>ООО "Микст"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дератизация (площадь подвала- 200м2)</t>
    </r>
  </si>
  <si>
    <r>
      <t>СМУП "АРС"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аварийное обслуживание холодного и горячего водоснабжения</t>
    </r>
  </si>
  <si>
    <r>
      <t>СМУП "АРС"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аварийное обслуживание систем центрального отопления</t>
    </r>
  </si>
  <si>
    <r>
      <t>ООО "Ставропольэлектросеть"-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аварийное обслуживание внутридомовых электрических сетей и электрической арматуры</t>
    </r>
  </si>
  <si>
    <t>Г.В. Ивахненко</t>
  </si>
  <si>
    <t>ООО УК "ЖЭУ-2" - Содержание и техническое обслуживание:</t>
  </si>
  <si>
    <t>ОАО "Горэлектросеть"- электроэнергия:</t>
  </si>
  <si>
    <t>ИТОГО:</t>
  </si>
  <si>
    <t>Утвержденный тариф - 12,30 руб./м2</t>
  </si>
  <si>
    <t>Начислено за период</t>
  </si>
  <si>
    <t>Поступило в отчетном периоде</t>
  </si>
  <si>
    <t>руб. за период</t>
  </si>
  <si>
    <t>Задолженность* на 01.01.2013 г.</t>
  </si>
  <si>
    <t>Отчет ООО УК "ЖЭУ-2" за  2012г. о выполненных работах по управлению, содержанию и техническому обслуживанию жилого многоквартирного дома ул. О.Революции 28</t>
  </si>
  <si>
    <t>Начислено за 1 полугодие</t>
  </si>
  <si>
    <t>Поступило в 1 полугодии</t>
  </si>
  <si>
    <t>Начислено за 2 полугодие</t>
  </si>
  <si>
    <t>Поступило во 2 полугодии</t>
  </si>
  <si>
    <t xml:space="preserve"> - Укрепление кровельного ограждения (01.2012 г.)</t>
  </si>
  <si>
    <t xml:space="preserve"> - Устройство ограждений в местах потенциального обрушения наледи (сосулек)  (01.2012 г.)</t>
  </si>
  <si>
    <t xml:space="preserve"> - восстановление контакта (01.2012)</t>
  </si>
  <si>
    <t xml:space="preserve"> - Ремонт остекления слухового окна (02.2012)</t>
  </si>
  <si>
    <t xml:space="preserve"> - Ремонт выходов на кровлю: 2 шт.  (02.2012 г.)</t>
  </si>
  <si>
    <t xml:space="preserve"> - Устройство козырьков: подготовительные работы  (03.2012)</t>
  </si>
  <si>
    <t xml:space="preserve"> - Установка козырька (2 п.); ремонт крепления козырька (3 п.) (20.04.2012)</t>
  </si>
  <si>
    <t xml:space="preserve"> - Обследование освещения (1 п., 2 п.) (26.04.2012)</t>
  </si>
  <si>
    <t>Итого затрат:</t>
  </si>
  <si>
    <t xml:space="preserve"> - Обследование кровельного покрытия на течь (01.06.2012)</t>
  </si>
  <si>
    <t xml:space="preserve"> - Оштукатуривание воздуховода (06.2012)</t>
  </si>
  <si>
    <t xml:space="preserve"> - Планово-предупредительный ремонт эл. щитовых и поэтажных эл.щитков (25.07.2012)</t>
  </si>
  <si>
    <t xml:space="preserve"> - Ремонт бордюра (26.07.2012)</t>
  </si>
  <si>
    <t xml:space="preserve"> - Планово-предупредительный ремонт эл. щитовых и поэтажных эл.щитков (27.08.2012)</t>
  </si>
  <si>
    <t xml:space="preserve"> - Монтаж выключателей: 1 шт.; монтаж патронов: 1 шт. (27.08.2012)</t>
  </si>
  <si>
    <t xml:space="preserve"> - замена ламп накаливания 26 шт; патрона - 1 шт;</t>
  </si>
  <si>
    <t xml:space="preserve"> - Очистка подвала (1, 2 п.) (06.09.2012)</t>
  </si>
  <si>
    <t xml:space="preserve"> - Смена замка в двери выхода на чердак (2 п.) (20.11.2012)</t>
  </si>
  <si>
    <t xml:space="preserve"> - Ревизия кранов на трубопроводах системы отопления (04.12.2012)</t>
  </si>
  <si>
    <t xml:space="preserve"> - Запуск системы отопления (10.2012)</t>
  </si>
  <si>
    <t xml:space="preserve"> -отключение системы отопления по окончании отопительного сезона (04.12 г.)</t>
  </si>
  <si>
    <t>Остаток денежных средств на 01.01.2012 г.</t>
  </si>
  <si>
    <t>руб.</t>
  </si>
  <si>
    <t>Дополнительные услуги (локальная смета) - Ремонт участка канализационного трубопровода: смена отводов: d 100 4шт., ревизии: d100 1 шт. Ремонт штукатурки стен подвала (выпуск канализации);  (10.05.2012); Ремонт отмостки (17.05.2012)</t>
  </si>
  <si>
    <r>
      <t xml:space="preserve">Остаток денежных средств на 01.01.2013 г. </t>
    </r>
    <r>
      <rPr>
        <sz val="11"/>
        <rFont val="Arial"/>
        <family val="2"/>
      </rPr>
      <t>(с учетом остатка на 01.01.2012 г.)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</si>
</sst>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00"/>
    <numFmt numFmtId="185" formatCode="0.0000000"/>
    <numFmt numFmtId="186" formatCode="0.00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2"/>
      <name val="Arial Cyr"/>
      <family val="0"/>
    </font>
    <font>
      <i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0" xfId="0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2" fontId="1" fillId="0" borderId="2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" fillId="0" borderId="19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/>
    </xf>
    <xf numFmtId="0" fontId="1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2" fillId="0" borderId="26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2" fontId="1" fillId="4" borderId="27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0" fontId="1" fillId="0" borderId="28" xfId="0" applyFont="1" applyBorder="1" applyAlignment="1">
      <alignment wrapText="1"/>
    </xf>
    <xf numFmtId="0" fontId="0" fillId="4" borderId="29" xfId="0" applyFill="1" applyBorder="1" applyAlignment="1">
      <alignment/>
    </xf>
    <xf numFmtId="2" fontId="1" fillId="0" borderId="30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0" fontId="3" fillId="0" borderId="32" xfId="0" applyFont="1" applyFill="1" applyBorder="1" applyAlignment="1">
      <alignment horizontal="left"/>
    </xf>
    <xf numFmtId="2" fontId="1" fillId="0" borderId="33" xfId="0" applyNumberFormat="1" applyFont="1" applyBorder="1" applyAlignment="1">
      <alignment/>
    </xf>
    <xf numFmtId="0" fontId="5" fillId="0" borderId="32" xfId="0" applyFont="1" applyFill="1" applyBorder="1" applyAlignment="1">
      <alignment horizontal="left" wrapText="1"/>
    </xf>
    <xf numFmtId="2" fontId="0" fillId="0" borderId="30" xfId="0" applyNumberFormat="1" applyFont="1" applyBorder="1" applyAlignment="1">
      <alignment/>
    </xf>
    <xf numFmtId="0" fontId="5" fillId="0" borderId="32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32" xfId="0" applyFont="1" applyFill="1" applyBorder="1" applyAlignment="1">
      <alignment horizontal="left"/>
    </xf>
    <xf numFmtId="2" fontId="0" fillId="0" borderId="3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30" xfId="0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1" fillId="0" borderId="1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38" xfId="0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2" fontId="1" fillId="0" borderId="31" xfId="0" applyNumberFormat="1" applyFont="1" applyBorder="1" applyAlignment="1">
      <alignment wrapText="1"/>
    </xf>
    <xf numFmtId="0" fontId="3" fillId="0" borderId="14" xfId="0" applyFont="1" applyFill="1" applyBorder="1" applyAlignment="1">
      <alignment horizontal="left"/>
    </xf>
    <xf numFmtId="2" fontId="0" fillId="0" borderId="39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30" xfId="0" applyNumberFormat="1" applyFont="1" applyFill="1" applyBorder="1" applyAlignment="1">
      <alignment/>
    </xf>
    <xf numFmtId="0" fontId="0" fillId="4" borderId="40" xfId="0" applyFill="1" applyBorder="1" applyAlignment="1">
      <alignment/>
    </xf>
    <xf numFmtId="0" fontId="0" fillId="4" borderId="17" xfId="0" applyFill="1" applyBorder="1" applyAlignment="1">
      <alignment/>
    </xf>
    <xf numFmtId="0" fontId="3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3" xfId="0" applyFill="1" applyBorder="1" applyAlignment="1">
      <alignment/>
    </xf>
    <xf numFmtId="2" fontId="0" fillId="4" borderId="18" xfId="0" applyNumberFormat="1" applyFill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2" fontId="1" fillId="0" borderId="44" xfId="0" applyNumberFormat="1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2" fontId="1" fillId="0" borderId="45" xfId="0" applyNumberFormat="1" applyFont="1" applyFill="1" applyBorder="1" applyAlignment="1">
      <alignment/>
    </xf>
    <xf numFmtId="2" fontId="1" fillId="0" borderId="46" xfId="0" applyNumberFormat="1" applyFont="1" applyFill="1" applyBorder="1" applyAlignment="1">
      <alignment/>
    </xf>
    <xf numFmtId="2" fontId="1" fillId="0" borderId="47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2" fontId="1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0" xfId="0" applyFill="1" applyBorder="1" applyAlignment="1">
      <alignment/>
    </xf>
    <xf numFmtId="0" fontId="5" fillId="0" borderId="30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2" fontId="0" fillId="0" borderId="38" xfId="0" applyNumberFormat="1" applyBorder="1" applyAlignment="1">
      <alignment/>
    </xf>
    <xf numFmtId="0" fontId="1" fillId="0" borderId="31" xfId="0" applyFont="1" applyBorder="1" applyAlignment="1">
      <alignment/>
    </xf>
    <xf numFmtId="0" fontId="0" fillId="0" borderId="18" xfId="0" applyFont="1" applyFill="1" applyBorder="1" applyAlignment="1">
      <alignment wrapText="1"/>
    </xf>
    <xf numFmtId="0" fontId="1" fillId="0" borderId="51" xfId="0" applyFont="1" applyBorder="1" applyAlignment="1">
      <alignment/>
    </xf>
    <xf numFmtId="0" fontId="1" fillId="0" borderId="0" xfId="0" applyFont="1" applyAlignment="1">
      <alignment horizontal="right"/>
    </xf>
    <xf numFmtId="2" fontId="0" fillId="0" borderId="3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/>
    </xf>
    <xf numFmtId="0" fontId="7" fillId="0" borderId="0" xfId="0" applyFont="1" applyFill="1" applyAlignment="1">
      <alignment horizontal="center" wrapText="1"/>
    </xf>
    <xf numFmtId="0" fontId="5" fillId="0" borderId="1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1%20&#1087;&#1086;&#1083;&#1091;&#1075;&#1086;&#1076;&#1080;&#1077;\&#1086;&#1089;&#1085;&#1086;&#1074;&#1085;&#1086;&#1081;%20&#1088;&#1072;&#1089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9%20&#1084;&#1077;&#1089;\9&#1084;%20&#1086;&#1089;&#1085;&#1086;&#1074;&#1085;&#1086;&#1081;%20&#1088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7;&#1086;&#1083;.12.%20&#1086;&#1089;&#1085;&#1086;&#1074;&#1085;&#1086;&#1081;%20&#1088;&#1072;&#1089;&#1095;&#1077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,2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6;&#1089;&#1085;&#1086;&#1074;&#1085;&#1086;&#1081;%20&#1088;&#1072;&#1089;&#1095;&#1077;&#10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Подрядч"/>
      <sheetName val="Начисление"/>
      <sheetName val="Подрядч факт"/>
      <sheetName val="Площадь участков"/>
      <sheetName val="Подрядч (2)"/>
    </sheetNames>
    <sheetDataSet>
      <sheetData sheetId="1">
        <row r="63">
          <cell r="C63">
            <v>2304.1</v>
          </cell>
          <cell r="R63">
            <v>0.6000000000000001</v>
          </cell>
          <cell r="X63">
            <v>0.71</v>
          </cell>
          <cell r="AH63">
            <v>1.04</v>
          </cell>
          <cell r="AN63">
            <v>1.24</v>
          </cell>
        </row>
      </sheetData>
      <sheetData sheetId="2">
        <row r="63">
          <cell r="L63">
            <v>1463.1035</v>
          </cell>
          <cell r="M63">
            <v>829.4759999999999</v>
          </cell>
          <cell r="P63">
            <v>504.13707999999997</v>
          </cell>
          <cell r="AP63">
            <v>1.5708020378499197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Подрядч"/>
      <sheetName val="Начисление"/>
      <sheetName val="Подрядч факт"/>
      <sheetName val="Площадь участков"/>
      <sheetName val="Площадь участков (2)"/>
      <sheetName val="Лист1"/>
      <sheetName val="в Админ"/>
      <sheetName val="Начисление ТО"/>
      <sheetName val="Начисление Эл.Эн"/>
    </sheetNames>
    <sheetDataSet>
      <sheetData sheetId="1">
        <row r="63">
          <cell r="BC63">
            <v>1.3714328646032634</v>
          </cell>
          <cell r="BJ63">
            <v>1.6899038462816418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2">
        <row r="79">
          <cell r="O79">
            <v>170088.42</v>
          </cell>
          <cell r="P79">
            <v>165583.77000000002</v>
          </cell>
        </row>
      </sheetData>
      <sheetData sheetId="4">
        <row r="70">
          <cell r="AM70">
            <v>94836.59999999999</v>
          </cell>
          <cell r="AN70">
            <v>77760.62</v>
          </cell>
        </row>
      </sheetData>
      <sheetData sheetId="6">
        <row r="62">
          <cell r="AG62">
            <v>1512</v>
          </cell>
          <cell r="AN62">
            <v>0</v>
          </cell>
          <cell r="AS62">
            <v>180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мат-лы"/>
      <sheetName val="мат-лы пол-е"/>
      <sheetName val="мат-лы 9 мес"/>
      <sheetName val="мат-лы год"/>
    </sheetNames>
    <sheetDataSet>
      <sheetData sheetId="7">
        <row r="71">
          <cell r="O71">
            <v>144.95000000000002</v>
          </cell>
          <cell r="P71">
            <v>2647.8100000000004</v>
          </cell>
          <cell r="Q71">
            <v>854.6894739301906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0">
        <row r="71">
          <cell r="V71">
            <v>0.7357128363614084</v>
          </cell>
          <cell r="AB71">
            <v>0.33107077636263377</v>
          </cell>
          <cell r="AD71">
            <v>0.625355910907197</v>
          </cell>
          <cell r="AH71">
            <v>0.09865909135606486</v>
          </cell>
          <cell r="AZ71">
            <v>1.2671355712236911</v>
          </cell>
          <cell r="BF71">
            <v>0.5702110070506611</v>
          </cell>
          <cell r="BH71">
            <v>1.0770652355401373</v>
          </cell>
          <cell r="BL71">
            <v>0.169922880101097</v>
          </cell>
          <cell r="BW71">
            <v>1.7202268298583137</v>
          </cell>
          <cell r="CD71">
            <v>0.7741020734362412</v>
          </cell>
          <cell r="CF71">
            <v>1.4621928053795668</v>
          </cell>
          <cell r="CJ71">
            <v>0.22294139714963745</v>
          </cell>
        </row>
      </sheetData>
      <sheetData sheetId="1">
        <row r="71">
          <cell r="R71">
            <v>552.9839999999999</v>
          </cell>
        </row>
      </sheetData>
      <sheetData sheetId="2">
        <row r="79">
          <cell r="O79">
            <v>340176.84</v>
          </cell>
          <cell r="P79">
            <v>335422.44</v>
          </cell>
          <cell r="Q79">
            <v>15371.85</v>
          </cell>
        </row>
      </sheetData>
      <sheetData sheetId="4">
        <row r="70">
          <cell r="AM70">
            <v>191345.34999999998</v>
          </cell>
          <cell r="AN70">
            <v>172201.47999999998</v>
          </cell>
          <cell r="AO70">
            <v>7015.43</v>
          </cell>
        </row>
      </sheetData>
      <sheetData sheetId="6">
        <row r="64">
          <cell r="AG64">
            <v>504</v>
          </cell>
          <cell r="AN64">
            <v>0</v>
          </cell>
          <cell r="AS6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3 квартал"/>
      <sheetName val="4 квартал"/>
      <sheetName val="мат"/>
      <sheetName val="мат-лы год"/>
    </sheetNames>
    <sheetDataSet>
      <sheetData sheetId="7">
        <row r="71">
          <cell r="O71">
            <v>3.06</v>
          </cell>
          <cell r="P71">
            <v>553.27</v>
          </cell>
          <cell r="Q71">
            <v>1661.4142873966643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72.28125" style="0" customWidth="1"/>
    <col min="2" max="2" width="13.7109375" style="0" hidden="1" customWidth="1"/>
    <col min="3" max="3" width="13.00390625" style="0" hidden="1" customWidth="1"/>
    <col min="4" max="4" width="0" style="0" hidden="1" customWidth="1"/>
    <col min="5" max="5" width="13.7109375" style="0" hidden="1" customWidth="1"/>
    <col min="6" max="6" width="13.00390625" style="0" hidden="1" customWidth="1"/>
    <col min="7" max="7" width="13.7109375" style="0" customWidth="1"/>
    <col min="8" max="8" width="13.00390625" style="0" customWidth="1"/>
    <col min="9" max="9" width="18.421875" style="0" customWidth="1"/>
  </cols>
  <sheetData>
    <row r="1" spans="1:8" ht="15" customHeight="1">
      <c r="A1" s="129" t="s">
        <v>54</v>
      </c>
      <c r="B1" s="129"/>
      <c r="C1" s="129"/>
      <c r="D1" s="129"/>
      <c r="E1" s="129"/>
      <c r="F1" s="129"/>
      <c r="G1" s="129"/>
      <c r="H1" s="129"/>
    </row>
    <row r="2" spans="1:8" ht="15" customHeight="1">
      <c r="A2" s="129"/>
      <c r="B2" s="129"/>
      <c r="C2" s="129"/>
      <c r="D2" s="129"/>
      <c r="E2" s="129"/>
      <c r="F2" s="129"/>
      <c r="G2" s="129"/>
      <c r="H2" s="129"/>
    </row>
    <row r="3" spans="1:8" ht="7.5" customHeight="1">
      <c r="A3" s="129"/>
      <c r="B3" s="129"/>
      <c r="C3" s="129"/>
      <c r="D3" s="129"/>
      <c r="E3" s="129"/>
      <c r="F3" s="129"/>
      <c r="G3" s="129"/>
      <c r="H3" s="129"/>
    </row>
    <row r="4" spans="1:8" ht="13.5" thickBot="1">
      <c r="A4" s="22"/>
      <c r="B4" s="23"/>
      <c r="C4" s="23"/>
      <c r="E4" s="23"/>
      <c r="F4" s="23"/>
      <c r="G4" s="23"/>
      <c r="H4" s="23"/>
    </row>
    <row r="5" spans="1:9" s="25" customFormat="1" ht="42.75" customHeight="1" thickBot="1">
      <c r="A5" s="39" t="s">
        <v>20</v>
      </c>
      <c r="B5" s="65" t="s">
        <v>55</v>
      </c>
      <c r="C5" s="65" t="s">
        <v>56</v>
      </c>
      <c r="D5" s="65"/>
      <c r="E5" s="65" t="s">
        <v>57</v>
      </c>
      <c r="F5" s="65" t="s">
        <v>58</v>
      </c>
      <c r="G5" s="65" t="s">
        <v>50</v>
      </c>
      <c r="H5" s="65" t="s">
        <v>51</v>
      </c>
      <c r="I5" s="66" t="s">
        <v>53</v>
      </c>
    </row>
    <row r="6" spans="1:9" ht="12.75">
      <c r="A6" s="67" t="s">
        <v>46</v>
      </c>
      <c r="B6" s="68">
        <f>'[3]Начисление'!$O$79</f>
        <v>170088.42</v>
      </c>
      <c r="C6" s="68">
        <f>'[3]Начисление'!$P$79</f>
        <v>165583.77000000002</v>
      </c>
      <c r="D6" s="68">
        <f>'[3]Начисление'!$O$79</f>
        <v>170088.42</v>
      </c>
      <c r="E6" s="68">
        <f>G6-B6</f>
        <v>170088.42</v>
      </c>
      <c r="F6" s="68">
        <f>H6-C6</f>
        <v>169838.66999999998</v>
      </c>
      <c r="G6" s="68">
        <f>'[5]Начисление'!$O$79</f>
        <v>340176.84</v>
      </c>
      <c r="H6" s="68">
        <f>'[5]Начисление'!$P$79</f>
        <v>335422.44</v>
      </c>
      <c r="I6" s="68">
        <f>'[5]Начисление'!$Q$79</f>
        <v>15371.85</v>
      </c>
    </row>
    <row r="7" spans="1:9" ht="13.5" thickBot="1">
      <c r="A7" s="69" t="s">
        <v>47</v>
      </c>
      <c r="B7" s="70">
        <f>'[3]Начис электроэн'!$AM$70</f>
        <v>94836.59999999999</v>
      </c>
      <c r="C7" s="70">
        <f>'[3]Начис электроэн'!$AN$70</f>
        <v>77760.62</v>
      </c>
      <c r="D7" s="70">
        <f>'[3]Начис электроэн'!$AM$70</f>
        <v>94836.59999999999</v>
      </c>
      <c r="E7" s="68">
        <f>G7-B7</f>
        <v>96508.74999999999</v>
      </c>
      <c r="F7" s="68">
        <f>H7-C7</f>
        <v>94440.85999999999</v>
      </c>
      <c r="G7" s="70">
        <f>'[5]Начис электроэн'!$AM$70</f>
        <v>191345.34999999998</v>
      </c>
      <c r="H7" s="70">
        <f>'[5]Начис электроэн'!$AN$70</f>
        <v>172201.47999999998</v>
      </c>
      <c r="I7" s="70">
        <f>'[5]Начис электроэн'!$AO$70</f>
        <v>7015.43</v>
      </c>
    </row>
    <row r="8" spans="1:9" ht="13.5" thickBot="1">
      <c r="A8" s="72" t="s">
        <v>48</v>
      </c>
      <c r="B8" s="73">
        <f aca="true" t="shared" si="0" ref="B8:I8">SUM(B6:B7)</f>
        <v>264925.02</v>
      </c>
      <c r="C8" s="73">
        <f t="shared" si="0"/>
        <v>243344.39</v>
      </c>
      <c r="D8" s="73">
        <f t="shared" si="0"/>
        <v>264925.02</v>
      </c>
      <c r="E8" s="73">
        <f t="shared" si="0"/>
        <v>266597.17</v>
      </c>
      <c r="F8" s="73">
        <f t="shared" si="0"/>
        <v>264279.52999999997</v>
      </c>
      <c r="G8" s="73">
        <f t="shared" si="0"/>
        <v>531522.19</v>
      </c>
      <c r="H8" s="73">
        <f t="shared" si="0"/>
        <v>507623.92</v>
      </c>
      <c r="I8" s="73">
        <f t="shared" si="0"/>
        <v>22387.28</v>
      </c>
    </row>
    <row r="9" spans="1:9" ht="12.75">
      <c r="A9" s="83"/>
      <c r="B9" s="84"/>
      <c r="C9" s="84"/>
      <c r="D9" s="84"/>
      <c r="E9" s="84"/>
      <c r="F9" s="84"/>
      <c r="G9" s="84"/>
      <c r="H9" s="84"/>
      <c r="I9" s="84"/>
    </row>
    <row r="10" spans="1:8" ht="12.75">
      <c r="A10" s="126" t="s">
        <v>80</v>
      </c>
      <c r="B10" s="1">
        <v>28431.16</v>
      </c>
      <c r="C10" s="1" t="s">
        <v>81</v>
      </c>
      <c r="G10" s="1">
        <v>28431.16</v>
      </c>
      <c r="H10" s="1" t="s">
        <v>81</v>
      </c>
    </row>
    <row r="11" spans="1:8" ht="12.75">
      <c r="A11" s="74" t="s">
        <v>27</v>
      </c>
      <c r="B11" s="7">
        <f>'[1]МУП'!$C$63</f>
        <v>2304.1</v>
      </c>
      <c r="C11" s="7" t="s">
        <v>26</v>
      </c>
      <c r="E11" s="81">
        <f>'[1]МУП'!$C$63</f>
        <v>2304.1</v>
      </c>
      <c r="F11" s="81" t="s">
        <v>26</v>
      </c>
      <c r="G11" s="7">
        <f>'[1]МУП'!$C$63</f>
        <v>2304.1</v>
      </c>
      <c r="H11" s="7" t="s">
        <v>26</v>
      </c>
    </row>
    <row r="12" spans="1:8" ht="13.5" thickBot="1">
      <c r="A12" s="75" t="s">
        <v>49</v>
      </c>
      <c r="B12" s="76"/>
      <c r="C12" s="77">
        <v>6</v>
      </c>
      <c r="E12" s="82"/>
      <c r="F12" s="77">
        <v>6</v>
      </c>
      <c r="G12" s="82"/>
      <c r="H12" s="77">
        <v>12</v>
      </c>
    </row>
    <row r="13" spans="1:8" s="25" customFormat="1" ht="26.25" thickBot="1">
      <c r="A13" s="18" t="s">
        <v>20</v>
      </c>
      <c r="B13" s="24" t="s">
        <v>28</v>
      </c>
      <c r="C13" s="78" t="s">
        <v>52</v>
      </c>
      <c r="D13" s="33"/>
      <c r="E13" s="24" t="s">
        <v>28</v>
      </c>
      <c r="F13" s="78" t="s">
        <v>52</v>
      </c>
      <c r="G13" s="24" t="s">
        <v>28</v>
      </c>
      <c r="H13" s="78" t="s">
        <v>52</v>
      </c>
    </row>
    <row r="14" spans="1:8" ht="12.75">
      <c r="A14" s="17" t="s">
        <v>36</v>
      </c>
      <c r="B14" s="38">
        <f>'[1]Подрядч'!$AP$63</f>
        <v>1.5708020378499197</v>
      </c>
      <c r="C14" s="53">
        <f>B14*B11*C12</f>
        <v>21715.70985246</v>
      </c>
      <c r="D14" s="34"/>
      <c r="E14" s="38"/>
      <c r="F14" s="53"/>
      <c r="G14" s="38">
        <f>H14/H12/G11</f>
        <v>0.78540101892496</v>
      </c>
      <c r="H14" s="53">
        <f>F14+C14</f>
        <v>21715.70985246</v>
      </c>
    </row>
    <row r="15" spans="1:8" ht="12.75">
      <c r="A15" s="10" t="s">
        <v>12</v>
      </c>
      <c r="B15" s="8">
        <f>C15/B11/C12</f>
        <v>2.0469112672337717</v>
      </c>
      <c r="C15" s="44">
        <f>SUM(C16:C24)</f>
        <v>28297.729505</v>
      </c>
      <c r="D15" s="34"/>
      <c r="E15" s="8">
        <f>F15/E11/F12</f>
        <v>1.9544086013338544</v>
      </c>
      <c r="F15" s="44">
        <f>SUM(F16:F24)</f>
        <v>27018.91715</v>
      </c>
      <c r="G15" s="8">
        <f>H15/$G$11/$H$12</f>
        <v>2.000659934283813</v>
      </c>
      <c r="H15" s="44">
        <f>SUM(H16:H24)</f>
        <v>55316.646655</v>
      </c>
    </row>
    <row r="16" spans="1:8" ht="12.75">
      <c r="A16" s="11" t="s">
        <v>37</v>
      </c>
      <c r="B16" s="54">
        <f>C16/$C$12/$B$11</f>
        <v>0.4750177238401112</v>
      </c>
      <c r="C16" s="49">
        <f>(C6*3.25%)+(B7*1.25%)</f>
        <v>6566.9300250000015</v>
      </c>
      <c r="D16" s="34"/>
      <c r="E16" s="54">
        <f>F16/$C$12/$B$11</f>
        <v>0.4865324240846028</v>
      </c>
      <c r="F16" s="49">
        <f>(F6*3.25%)+(E7*1.25%)</f>
        <v>6726.11615</v>
      </c>
      <c r="G16" s="54">
        <f>H16/$G$11/$H$12</f>
        <v>0.480775073962357</v>
      </c>
      <c r="H16" s="49">
        <f>(H6*3.25%)+(G7*1.25%)</f>
        <v>13293.046175000001</v>
      </c>
    </row>
    <row r="17" spans="1:8" ht="12.75">
      <c r="A17" s="12" t="s">
        <v>38</v>
      </c>
      <c r="B17" s="54">
        <f aca="true" t="shared" si="1" ref="B17:B24">C17/$C$12/$B$11</f>
        <v>0.10937025302721236</v>
      </c>
      <c r="C17" s="55">
        <f>'[3]Подрядч факт'!$AG$62</f>
        <v>1512</v>
      </c>
      <c r="D17" s="34" t="s">
        <v>31</v>
      </c>
      <c r="E17" s="54">
        <f aca="true" t="shared" si="2" ref="E17:E24">F17/$C$12/$B$11</f>
        <v>0.03645675100907079</v>
      </c>
      <c r="F17" s="55">
        <f>'[5]Подрядч факт'!$AG$64</f>
        <v>504</v>
      </c>
      <c r="G17" s="54">
        <f aca="true" t="shared" si="3" ref="G17:G24">H17/$G$11/$H$12</f>
        <v>0.07291350201814158</v>
      </c>
      <c r="H17" s="55">
        <f>F17+C17</f>
        <v>2016</v>
      </c>
    </row>
    <row r="18" spans="1:8" ht="12.75" hidden="1">
      <c r="A18" s="12" t="s">
        <v>39</v>
      </c>
      <c r="B18" s="54">
        <f t="shared" si="1"/>
        <v>0</v>
      </c>
      <c r="C18" s="49">
        <f>'[3]Подрядч факт'!$AH$62</f>
        <v>0</v>
      </c>
      <c r="D18" s="34"/>
      <c r="E18" s="54">
        <f t="shared" si="2"/>
        <v>0</v>
      </c>
      <c r="F18" s="49">
        <f>'[5]Подрядч факт'!$AH$64</f>
        <v>0</v>
      </c>
      <c r="G18" s="54">
        <f t="shared" si="3"/>
        <v>0</v>
      </c>
      <c r="H18" s="55">
        <f aca="true" t="shared" si="4" ref="H18:H24">F18+C18</f>
        <v>0</v>
      </c>
    </row>
    <row r="19" spans="1:8" ht="12.75" hidden="1">
      <c r="A19" s="12" t="s">
        <v>40</v>
      </c>
      <c r="B19" s="54">
        <f t="shared" si="1"/>
        <v>0</v>
      </c>
      <c r="C19" s="56">
        <f>'[3]Подрядч факт'!$AN$62</f>
        <v>0</v>
      </c>
      <c r="D19" s="34"/>
      <c r="E19" s="54">
        <f t="shared" si="2"/>
        <v>0</v>
      </c>
      <c r="F19" s="56">
        <f>'[5]Подрядч факт'!$AN$64</f>
        <v>0</v>
      </c>
      <c r="G19" s="54">
        <f t="shared" si="3"/>
        <v>0</v>
      </c>
      <c r="H19" s="55">
        <f t="shared" si="4"/>
        <v>0</v>
      </c>
    </row>
    <row r="20" spans="1:8" ht="13.5" customHeight="1">
      <c r="A20" s="12" t="s">
        <v>41</v>
      </c>
      <c r="B20" s="54">
        <f t="shared" si="1"/>
        <v>0.013020268217525282</v>
      </c>
      <c r="C20" s="49">
        <f>'[3]Подрядч факт'!$AS$62</f>
        <v>180</v>
      </c>
      <c r="D20" s="34"/>
      <c r="E20" s="54">
        <f t="shared" si="2"/>
        <v>0</v>
      </c>
      <c r="F20" s="49">
        <f>'[5]Подрядч факт'!$AS$64</f>
        <v>0</v>
      </c>
      <c r="G20" s="54">
        <f t="shared" si="3"/>
        <v>0.006510134108762641</v>
      </c>
      <c r="H20" s="55">
        <f t="shared" si="4"/>
        <v>180</v>
      </c>
    </row>
    <row r="21" spans="1:8" ht="25.5">
      <c r="A21" s="12" t="s">
        <v>42</v>
      </c>
      <c r="B21" s="54">
        <f t="shared" si="1"/>
        <v>0.635</v>
      </c>
      <c r="C21" s="49">
        <f>'[1]Подрядч'!$L$63*C12</f>
        <v>8778.621</v>
      </c>
      <c r="D21" s="34"/>
      <c r="E21" s="54">
        <f t="shared" si="2"/>
        <v>0.635</v>
      </c>
      <c r="F21" s="49">
        <f>'[1]Подрядч'!$L$63*F12</f>
        <v>8778.621</v>
      </c>
      <c r="G21" s="54">
        <f t="shared" si="3"/>
        <v>0.6349999999999999</v>
      </c>
      <c r="H21" s="49">
        <f t="shared" si="4"/>
        <v>17557.242</v>
      </c>
    </row>
    <row r="22" spans="1:8" ht="25.5">
      <c r="A22" s="12" t="s">
        <v>43</v>
      </c>
      <c r="B22" s="54">
        <f t="shared" si="1"/>
        <v>0.36</v>
      </c>
      <c r="C22" s="49">
        <f>'[1]Подрядч'!$M$63*C12</f>
        <v>4976.856</v>
      </c>
      <c r="D22" s="34"/>
      <c r="E22" s="54">
        <f t="shared" si="2"/>
        <v>0.36</v>
      </c>
      <c r="F22" s="49">
        <f>'[1]Подрядч'!$M$63*F12</f>
        <v>4976.856</v>
      </c>
      <c r="G22" s="54">
        <f t="shared" si="3"/>
        <v>0.36000000000000004</v>
      </c>
      <c r="H22" s="49">
        <f t="shared" si="4"/>
        <v>9953.712</v>
      </c>
    </row>
    <row r="23" spans="1:8" ht="25.5">
      <c r="A23" s="12" t="s">
        <v>44</v>
      </c>
      <c r="B23" s="54">
        <f t="shared" si="1"/>
        <v>0.2188</v>
      </c>
      <c r="C23" s="49">
        <f>'[1]Подрядч'!$P$63*C12</f>
        <v>3024.82248</v>
      </c>
      <c r="D23" s="36"/>
      <c r="E23" s="54">
        <f t="shared" si="2"/>
        <v>0.23999999999999996</v>
      </c>
      <c r="F23" s="49">
        <f>'[5]Подрядч'!$R$71*F12</f>
        <v>3317.9039999999995</v>
      </c>
      <c r="G23" s="54">
        <f t="shared" si="3"/>
        <v>0.22939999999999997</v>
      </c>
      <c r="H23" s="127">
        <f t="shared" si="4"/>
        <v>6342.726479999999</v>
      </c>
    </row>
    <row r="24" spans="1:8" ht="13.5" thickBot="1">
      <c r="A24" s="42" t="s">
        <v>35</v>
      </c>
      <c r="B24" s="57">
        <f t="shared" si="1"/>
        <v>0.23570302214892297</v>
      </c>
      <c r="C24" s="80">
        <f>1629.25+1629.25</f>
        <v>3258.5</v>
      </c>
      <c r="D24" s="43"/>
      <c r="E24" s="57">
        <f t="shared" si="2"/>
        <v>0.19641942624018055</v>
      </c>
      <c r="F24" s="80">
        <f>1629.25+1086.17</f>
        <v>2715.42</v>
      </c>
      <c r="G24" s="54">
        <f t="shared" si="3"/>
        <v>0.21606122419455176</v>
      </c>
      <c r="H24" s="55">
        <f t="shared" si="4"/>
        <v>5973.92</v>
      </c>
    </row>
    <row r="25" spans="1:8" ht="38.25" customHeight="1" thickBot="1">
      <c r="A25" s="39" t="s">
        <v>13</v>
      </c>
      <c r="B25" s="14">
        <f>C25/C12/B11</f>
        <v>7.360783669923796</v>
      </c>
      <c r="C25" s="45">
        <f>C26+C41+C68</f>
        <v>101759.8899232285</v>
      </c>
      <c r="D25" s="40">
        <f>D26+D41+D68</f>
        <v>49018.9571232285</v>
      </c>
      <c r="E25" s="98">
        <f>F25/F12/E11</f>
        <v>9.959631603658602</v>
      </c>
      <c r="F25" s="99">
        <f>F26+F41+F68</f>
        <v>137687.9230679387</v>
      </c>
      <c r="G25" s="98">
        <f>H25/H12/G11</f>
        <v>8.6602076367912</v>
      </c>
      <c r="H25" s="99">
        <f>H26+H41+H68</f>
        <v>239447.81299116724</v>
      </c>
    </row>
    <row r="26" spans="1:8" ht="13.5" thickBot="1">
      <c r="A26" s="37" t="s">
        <v>2</v>
      </c>
      <c r="B26" s="38">
        <f>C26/B11/C12</f>
        <v>1.4404849326562792</v>
      </c>
      <c r="C26" s="47">
        <f>SUM(C27:C30)</f>
        <v>19914.127999999997</v>
      </c>
      <c r="D26" s="89">
        <f>SUM(D27:D36)</f>
        <v>0</v>
      </c>
      <c r="E26" s="107">
        <f>F26/E11/F12</f>
        <v>1.9381625268192837</v>
      </c>
      <c r="F26" s="108">
        <f>SUM(F27:F30)</f>
        <v>26794.321668265868</v>
      </c>
      <c r="G26" s="108">
        <f>H26/G11/H12</f>
        <v>1.6893237297377814</v>
      </c>
      <c r="H26" s="109">
        <f>SUM(H27:H30)</f>
        <v>46708.449668265865</v>
      </c>
    </row>
    <row r="27" spans="1:8" ht="12.75" hidden="1">
      <c r="A27" s="16" t="s">
        <v>3</v>
      </c>
      <c r="B27" s="54">
        <f>'[1]МУП'!$R$63</f>
        <v>0.6000000000000001</v>
      </c>
      <c r="C27" s="49">
        <f>B27*$B$11*$C$12</f>
        <v>8294.76</v>
      </c>
      <c r="D27" s="90"/>
      <c r="E27" s="110">
        <f>'[5]МУП'!$V$71</f>
        <v>0.7357128363614084</v>
      </c>
      <c r="F27" s="85">
        <f>E27*$B$11*$C$12</f>
        <v>10170.935677561925</v>
      </c>
      <c r="G27" s="85">
        <f>H27/$H$12/$G$11</f>
        <v>0.6678564181807042</v>
      </c>
      <c r="H27" s="86">
        <f>F27+C27</f>
        <v>18465.695677561926</v>
      </c>
    </row>
    <row r="28" spans="1:8" s="7" customFormat="1" ht="12.75" hidden="1">
      <c r="A28" s="16" t="s">
        <v>22</v>
      </c>
      <c r="B28" s="54">
        <f>B27*20%</f>
        <v>0.12000000000000002</v>
      </c>
      <c r="C28" s="49">
        <f>B28*$B$11*$C$12</f>
        <v>1658.9520000000002</v>
      </c>
      <c r="D28" s="91"/>
      <c r="E28" s="110">
        <f>E27*20%</f>
        <v>0.14714256727228167</v>
      </c>
      <c r="F28" s="85">
        <f>E28*$B$11*$C$12</f>
        <v>2034.1871355123849</v>
      </c>
      <c r="G28" s="85">
        <f>H28/$H$12/$G$11</f>
        <v>0.13357128363614085</v>
      </c>
      <c r="H28" s="86">
        <f>F28+C28</f>
        <v>3693.139135512385</v>
      </c>
    </row>
    <row r="29" spans="1:8" s="7" customFormat="1" ht="12.75" hidden="1">
      <c r="A29" s="16" t="s">
        <v>11</v>
      </c>
      <c r="B29" s="54">
        <f>C29/C12/B11</f>
        <v>0.010484932656279387</v>
      </c>
      <c r="C29" s="49">
        <f>'[4]мат-лы год'!$O$71</f>
        <v>144.95000000000002</v>
      </c>
      <c r="D29" s="91"/>
      <c r="E29" s="110">
        <f>F29/F12/E11</f>
        <v>0.0002213445596979298</v>
      </c>
      <c r="F29" s="85">
        <f>'[6]мат-лы год'!$O$71</f>
        <v>3.06</v>
      </c>
      <c r="G29" s="85">
        <f>H29/$H$12/$G$11</f>
        <v>0.005353138607988659</v>
      </c>
      <c r="H29" s="86">
        <f>F29+C29</f>
        <v>148.01000000000002</v>
      </c>
    </row>
    <row r="30" spans="1:8" ht="12.75" hidden="1">
      <c r="A30" s="16" t="s">
        <v>23</v>
      </c>
      <c r="B30" s="54">
        <f>'[1]МУП'!$X$63</f>
        <v>0.71</v>
      </c>
      <c r="C30" s="49">
        <f>B30*$B$11*$C$12</f>
        <v>9815.465999999999</v>
      </c>
      <c r="D30" s="92"/>
      <c r="E30" s="110">
        <f>'[5]МУП'!$AB$71+'[5]МУП'!$AD$71+'[5]МУП'!$AH$71</f>
        <v>1.0550857786258956</v>
      </c>
      <c r="F30" s="85">
        <f>E30*$B$11*$C$12</f>
        <v>14586.138855191555</v>
      </c>
      <c r="G30" s="85">
        <f>H30/$H$12/$G$11</f>
        <v>0.8825428893129477</v>
      </c>
      <c r="H30" s="86">
        <f>F30+C30</f>
        <v>24401.604855191552</v>
      </c>
    </row>
    <row r="31" spans="1:8" ht="13.5" customHeight="1">
      <c r="A31" s="28" t="s">
        <v>59</v>
      </c>
      <c r="B31" s="21"/>
      <c r="C31" s="48"/>
      <c r="D31" s="92"/>
      <c r="E31" s="111"/>
      <c r="F31" s="102"/>
      <c r="G31" s="102"/>
      <c r="H31" s="112"/>
    </row>
    <row r="32" spans="1:8" ht="13.5" customHeight="1">
      <c r="A32" s="27" t="s">
        <v>60</v>
      </c>
      <c r="B32" s="21"/>
      <c r="C32" s="48"/>
      <c r="D32" s="92"/>
      <c r="E32" s="111"/>
      <c r="F32" s="102"/>
      <c r="G32" s="102"/>
      <c r="H32" s="112"/>
    </row>
    <row r="33" spans="1:8" ht="13.5" customHeight="1">
      <c r="A33" s="20" t="s">
        <v>62</v>
      </c>
      <c r="B33" s="21"/>
      <c r="C33" s="48"/>
      <c r="D33" s="92"/>
      <c r="E33" s="111"/>
      <c r="F33" s="102"/>
      <c r="G33" s="102"/>
      <c r="H33" s="112"/>
    </row>
    <row r="34" spans="1:8" ht="13.5" customHeight="1">
      <c r="A34" s="20" t="s">
        <v>63</v>
      </c>
      <c r="B34" s="21"/>
      <c r="C34" s="48"/>
      <c r="D34" s="92"/>
      <c r="E34" s="111"/>
      <c r="F34" s="102"/>
      <c r="G34" s="102"/>
      <c r="H34" s="112"/>
    </row>
    <row r="35" spans="1:8" ht="13.5" customHeight="1">
      <c r="A35" s="20" t="s">
        <v>64</v>
      </c>
      <c r="B35" s="21"/>
      <c r="C35" s="48"/>
      <c r="D35" s="92"/>
      <c r="E35" s="111"/>
      <c r="F35" s="102"/>
      <c r="G35" s="102"/>
      <c r="H35" s="112"/>
    </row>
    <row r="36" spans="1:8" ht="13.5" customHeight="1">
      <c r="A36" s="20" t="s">
        <v>65</v>
      </c>
      <c r="B36" s="21"/>
      <c r="C36" s="48"/>
      <c r="D36" s="93"/>
      <c r="E36" s="111"/>
      <c r="F36" s="102"/>
      <c r="G36" s="102"/>
      <c r="H36" s="112"/>
    </row>
    <row r="37" spans="1:8" ht="13.5" customHeight="1">
      <c r="A37" s="20" t="s">
        <v>68</v>
      </c>
      <c r="B37" s="21"/>
      <c r="C37" s="48"/>
      <c r="D37" s="96"/>
      <c r="E37" s="111"/>
      <c r="F37" s="102"/>
      <c r="G37" s="102"/>
      <c r="H37" s="112"/>
    </row>
    <row r="38" spans="1:8" ht="13.5" customHeight="1">
      <c r="A38" s="20" t="s">
        <v>69</v>
      </c>
      <c r="B38" s="21"/>
      <c r="C38" s="48"/>
      <c r="D38" s="96"/>
      <c r="E38" s="111"/>
      <c r="F38" s="102"/>
      <c r="G38" s="102"/>
      <c r="H38" s="112"/>
    </row>
    <row r="39" spans="1:8" ht="13.5" customHeight="1">
      <c r="A39" s="20" t="s">
        <v>71</v>
      </c>
      <c r="B39" s="21"/>
      <c r="C39" s="48"/>
      <c r="D39" s="96"/>
      <c r="E39" s="111"/>
      <c r="F39" s="102"/>
      <c r="G39" s="102"/>
      <c r="H39" s="112"/>
    </row>
    <row r="40" spans="1:8" ht="15.75" customHeight="1" thickBot="1">
      <c r="A40" s="20" t="s">
        <v>76</v>
      </c>
      <c r="B40" s="21"/>
      <c r="C40" s="48"/>
      <c r="D40" s="96"/>
      <c r="E40" s="111"/>
      <c r="F40" s="102"/>
      <c r="G40" s="102"/>
      <c r="H40" s="112"/>
    </row>
    <row r="41" spans="1:8" ht="13.5" thickBot="1">
      <c r="A41" s="13" t="s">
        <v>4</v>
      </c>
      <c r="B41" s="8">
        <f>C41/B11/C12</f>
        <v>2.5228516412771436</v>
      </c>
      <c r="C41" s="44">
        <f>SUM(C42:C45)</f>
        <v>34877.4148</v>
      </c>
      <c r="D41" s="94">
        <f>SUM(D42:D65)</f>
        <v>2050.6099999999997</v>
      </c>
      <c r="E41" s="113">
        <f>F41/E11/F12</f>
        <v>3.3777824959198255</v>
      </c>
      <c r="F41" s="87">
        <f>SUM(F42:F45)</f>
        <v>46696.49189309322</v>
      </c>
      <c r="G41" s="87">
        <f>H41/G11/H12</f>
        <v>2.9503170685984847</v>
      </c>
      <c r="H41" s="88">
        <f>SUM(H42:H45)</f>
        <v>81573.90669309322</v>
      </c>
    </row>
    <row r="42" spans="1:8" ht="12.75" hidden="1">
      <c r="A42" s="16" t="s">
        <v>3</v>
      </c>
      <c r="B42" s="54">
        <f>'[1]МУП'!$AH$63</f>
        <v>1.04</v>
      </c>
      <c r="C42" s="49">
        <f>B42*$B$11*$C$12</f>
        <v>14377.584</v>
      </c>
      <c r="D42" s="90"/>
      <c r="E42" s="110">
        <f>'[5]МУП'!$AZ$71</f>
        <v>1.2671355712236911</v>
      </c>
      <c r="F42" s="85">
        <f>E42*$B$11*$C$12</f>
        <v>17517.642417939038</v>
      </c>
      <c r="G42" s="85">
        <f>H42/$H$12/$G$11</f>
        <v>1.1535677856118456</v>
      </c>
      <c r="H42" s="86">
        <f>F42+C42</f>
        <v>31895.22641793904</v>
      </c>
    </row>
    <row r="43" spans="1:8" s="7" customFormat="1" ht="12.75" hidden="1">
      <c r="A43" s="16" t="s">
        <v>22</v>
      </c>
      <c r="B43" s="54">
        <f>B42*20%</f>
        <v>0.20800000000000002</v>
      </c>
      <c r="C43" s="49">
        <f>B43*$B$11*$C$12</f>
        <v>2875.5168000000003</v>
      </c>
      <c r="D43" s="91"/>
      <c r="E43" s="110">
        <f>E42*20%</f>
        <v>0.25342711424473824</v>
      </c>
      <c r="F43" s="85">
        <f>E43*$B$11*$C$12</f>
        <v>3503.5284835878083</v>
      </c>
      <c r="G43" s="85">
        <f>H43/$H$12/$G$11</f>
        <v>0.23071355712236913</v>
      </c>
      <c r="H43" s="86">
        <f>F43+C43</f>
        <v>6379.045283587809</v>
      </c>
    </row>
    <row r="44" spans="1:8" s="7" customFormat="1" ht="12.75" hidden="1">
      <c r="A44" s="16" t="s">
        <v>11</v>
      </c>
      <c r="B44" s="54">
        <f>C44/C12/B11</f>
        <v>0.03485164127714367</v>
      </c>
      <c r="C44" s="49">
        <f>'[4]мат-лы год'!$P$71-2166</f>
        <v>481.8100000000004</v>
      </c>
      <c r="D44" s="91"/>
      <c r="E44" s="110">
        <f>F44/F12/E11</f>
        <v>0.040020687759501176</v>
      </c>
      <c r="F44" s="85">
        <f>'[6]мат-лы год'!$P$71</f>
        <v>553.27</v>
      </c>
      <c r="G44" s="85">
        <f>H44/$H$12/$G$11</f>
        <v>0.03743616451832243</v>
      </c>
      <c r="H44" s="86">
        <f>F44+C44</f>
        <v>1035.0800000000004</v>
      </c>
    </row>
    <row r="45" spans="1:8" ht="12.75" hidden="1">
      <c r="A45" s="16" t="s">
        <v>23</v>
      </c>
      <c r="B45" s="54">
        <f>'[1]МУП'!$AN$63</f>
        <v>1.24</v>
      </c>
      <c r="C45" s="49">
        <f>B45*$B$11*$C$12</f>
        <v>17142.504</v>
      </c>
      <c r="D45" s="92"/>
      <c r="E45" s="110">
        <f>'[5]МУП'!$BF$71+'[5]МУП'!$BH$71+'[5]МУП'!$BL$71</f>
        <v>1.8171991226918953</v>
      </c>
      <c r="F45" s="85">
        <f>E45*$B$11*$C$12</f>
        <v>25122.050991566375</v>
      </c>
      <c r="G45" s="85">
        <f>H45/$H$12/$G$11</f>
        <v>1.5285995613459475</v>
      </c>
      <c r="H45" s="86">
        <f>F45+C45</f>
        <v>42264.55499156637</v>
      </c>
    </row>
    <row r="46" spans="1:8" ht="12.75">
      <c r="A46" s="133" t="s">
        <v>14</v>
      </c>
      <c r="B46" s="134"/>
      <c r="C46" s="135"/>
      <c r="D46" s="92"/>
      <c r="E46" s="114"/>
      <c r="F46" s="103"/>
      <c r="G46" s="103"/>
      <c r="H46" s="115"/>
    </row>
    <row r="47" spans="1:8" ht="12.75">
      <c r="A47" s="61" t="s">
        <v>79</v>
      </c>
      <c r="B47" s="32"/>
      <c r="C47" s="50"/>
      <c r="D47" s="92"/>
      <c r="E47" s="31"/>
      <c r="F47" s="104"/>
      <c r="G47" s="104"/>
      <c r="H47" s="116"/>
    </row>
    <row r="48" spans="1:8" ht="12.75">
      <c r="A48" s="31" t="s">
        <v>78</v>
      </c>
      <c r="B48" s="32"/>
      <c r="C48" s="50"/>
      <c r="D48" s="92"/>
      <c r="E48" s="31"/>
      <c r="F48" s="104"/>
      <c r="G48" s="104"/>
      <c r="H48" s="116"/>
    </row>
    <row r="49" spans="1:8" ht="12.75">
      <c r="A49" s="31" t="s">
        <v>77</v>
      </c>
      <c r="B49" s="32"/>
      <c r="C49" s="50"/>
      <c r="D49" s="92"/>
      <c r="E49" s="31"/>
      <c r="F49" s="104"/>
      <c r="G49" s="104"/>
      <c r="H49" s="116"/>
    </row>
    <row r="50" spans="1:8" ht="12.75" hidden="1">
      <c r="A50" s="31"/>
      <c r="B50" s="32"/>
      <c r="C50" s="50"/>
      <c r="D50" s="92"/>
      <c r="E50" s="31"/>
      <c r="F50" s="104"/>
      <c r="G50" s="104"/>
      <c r="H50" s="116"/>
    </row>
    <row r="51" spans="1:8" ht="12.75" hidden="1">
      <c r="A51" s="133" t="s">
        <v>15</v>
      </c>
      <c r="B51" s="134"/>
      <c r="C51" s="135"/>
      <c r="D51" s="92"/>
      <c r="E51" s="114"/>
      <c r="F51" s="103"/>
      <c r="G51" s="103"/>
      <c r="H51" s="115"/>
    </row>
    <row r="52" spans="1:8" ht="12.75" hidden="1">
      <c r="A52" s="139"/>
      <c r="B52" s="140"/>
      <c r="C52" s="141"/>
      <c r="D52" s="92"/>
      <c r="E52" s="114"/>
      <c r="F52" s="103"/>
      <c r="G52" s="103"/>
      <c r="H52" s="115"/>
    </row>
    <row r="53" spans="1:8" ht="12.75" hidden="1">
      <c r="A53" s="31"/>
      <c r="B53" s="32"/>
      <c r="C53" s="50"/>
      <c r="D53" s="92"/>
      <c r="E53" s="31"/>
      <c r="F53" s="104"/>
      <c r="G53" s="104"/>
      <c r="H53" s="116"/>
    </row>
    <row r="54" spans="1:8" ht="12.75" hidden="1">
      <c r="A54" s="31"/>
      <c r="B54" s="32"/>
      <c r="C54" s="50"/>
      <c r="D54" s="92"/>
      <c r="E54" s="31"/>
      <c r="F54" s="104"/>
      <c r="G54" s="104"/>
      <c r="H54" s="116"/>
    </row>
    <row r="55" spans="1:8" ht="12.75" hidden="1">
      <c r="A55" s="133" t="s">
        <v>30</v>
      </c>
      <c r="B55" s="134"/>
      <c r="C55" s="135"/>
      <c r="D55" s="92"/>
      <c r="E55" s="114"/>
      <c r="F55" s="103"/>
      <c r="G55" s="103"/>
      <c r="H55" s="115"/>
    </row>
    <row r="56" spans="1:8" s="30" customFormat="1" ht="12.75" hidden="1">
      <c r="A56" s="51"/>
      <c r="B56" s="29"/>
      <c r="C56" s="52"/>
      <c r="D56" s="95">
        <v>339</v>
      </c>
      <c r="E56" s="28"/>
      <c r="F56" s="105"/>
      <c r="G56" s="105"/>
      <c r="H56" s="117"/>
    </row>
    <row r="57" spans="1:8" s="30" customFormat="1" ht="12.75" hidden="1">
      <c r="A57" s="28"/>
      <c r="B57" s="29"/>
      <c r="C57" s="52"/>
      <c r="D57" s="95"/>
      <c r="E57" s="28"/>
      <c r="F57" s="105"/>
      <c r="G57" s="105"/>
      <c r="H57" s="117"/>
    </row>
    <row r="58" spans="1:8" s="30" customFormat="1" ht="12.75" hidden="1">
      <c r="A58" s="28"/>
      <c r="B58" s="29"/>
      <c r="C58" s="52"/>
      <c r="D58" s="95"/>
      <c r="E58" s="28"/>
      <c r="F58" s="105"/>
      <c r="G58" s="105"/>
      <c r="H58" s="117"/>
    </row>
    <row r="59" spans="1:8" ht="12.75" hidden="1">
      <c r="A59" s="139"/>
      <c r="B59" s="140"/>
      <c r="C59" s="141"/>
      <c r="D59" s="92"/>
      <c r="E59" s="114"/>
      <c r="F59" s="103"/>
      <c r="G59" s="103"/>
      <c r="H59" s="115"/>
    </row>
    <row r="60" spans="1:8" ht="12.75" hidden="1">
      <c r="A60" s="139"/>
      <c r="B60" s="140"/>
      <c r="C60" s="141"/>
      <c r="D60" s="92"/>
      <c r="E60" s="114"/>
      <c r="F60" s="103"/>
      <c r="G60" s="103"/>
      <c r="H60" s="115"/>
    </row>
    <row r="61" spans="1:8" ht="12.75">
      <c r="A61" s="142" t="s">
        <v>16</v>
      </c>
      <c r="B61" s="143"/>
      <c r="C61" s="135"/>
      <c r="D61" s="92">
        <f>1545.61+71.23+94.77</f>
        <v>1711.61</v>
      </c>
      <c r="E61" s="114"/>
      <c r="F61" s="103"/>
      <c r="G61" s="103"/>
      <c r="H61" s="115"/>
    </row>
    <row r="62" spans="1:8" ht="12.75">
      <c r="A62" s="27" t="s">
        <v>74</v>
      </c>
      <c r="B62" s="26"/>
      <c r="C62" s="46"/>
      <c r="D62" s="92"/>
      <c r="E62" s="79"/>
      <c r="F62" s="106"/>
      <c r="G62" s="106"/>
      <c r="H62" s="118"/>
    </row>
    <row r="63" spans="1:8" ht="12.75">
      <c r="A63" s="27" t="s">
        <v>61</v>
      </c>
      <c r="B63" s="26"/>
      <c r="C63" s="46"/>
      <c r="D63" s="92"/>
      <c r="E63" s="79"/>
      <c r="F63" s="106"/>
      <c r="G63" s="106"/>
      <c r="H63" s="118"/>
    </row>
    <row r="64" spans="1:8" ht="12.75">
      <c r="A64" s="27" t="s">
        <v>66</v>
      </c>
      <c r="B64" s="26"/>
      <c r="C64" s="46"/>
      <c r="D64" s="92"/>
      <c r="E64" s="79"/>
      <c r="F64" s="106"/>
      <c r="G64" s="106"/>
      <c r="H64" s="118"/>
    </row>
    <row r="65" spans="1:8" ht="12.75">
      <c r="A65" s="130" t="s">
        <v>70</v>
      </c>
      <c r="B65" s="131"/>
      <c r="C65" s="132"/>
      <c r="D65" s="93"/>
      <c r="E65" s="114"/>
      <c r="F65" s="103"/>
      <c r="G65" s="103"/>
      <c r="H65" s="115"/>
    </row>
    <row r="66" spans="1:8" ht="12.75">
      <c r="A66" s="130" t="s">
        <v>72</v>
      </c>
      <c r="B66" s="131"/>
      <c r="C66" s="132"/>
      <c r="D66" s="96"/>
      <c r="E66" s="31"/>
      <c r="F66" s="104"/>
      <c r="G66" s="104"/>
      <c r="H66" s="116"/>
    </row>
    <row r="67" spans="1:8" ht="13.5" thickBot="1">
      <c r="A67" s="62" t="s">
        <v>73</v>
      </c>
      <c r="B67" s="63"/>
      <c r="C67" s="64"/>
      <c r="D67" s="96"/>
      <c r="E67" s="31"/>
      <c r="F67" s="104"/>
      <c r="G67" s="104"/>
      <c r="H67" s="116"/>
    </row>
    <row r="68" spans="1:8" ht="13.5" thickBot="1">
      <c r="A68" s="13" t="s">
        <v>5</v>
      </c>
      <c r="B68" s="8">
        <f>C68/B11/C12</f>
        <v>3.3974470959903726</v>
      </c>
      <c r="C68" s="44">
        <f>SUM(C69:C72)</f>
        <v>46968.3471232285</v>
      </c>
      <c r="D68" s="97">
        <f>SUM(C68)</f>
        <v>46968.3471232285</v>
      </c>
      <c r="E68" s="113">
        <f>F68/E11/F12</f>
        <v>4.6436865809194945</v>
      </c>
      <c r="F68" s="87">
        <f>SUM(F69:F72)</f>
        <v>64197.10950657964</v>
      </c>
      <c r="G68" s="87">
        <f>H68/G11/H12</f>
        <v>4.020566838454934</v>
      </c>
      <c r="H68" s="88">
        <f>SUM(H69:H72)</f>
        <v>111165.45662980815</v>
      </c>
    </row>
    <row r="69" spans="1:8" ht="12.75" hidden="1">
      <c r="A69" s="16" t="s">
        <v>24</v>
      </c>
      <c r="B69" s="54">
        <f>'[2]МУП'!$BC$63</f>
        <v>1.3714328646032634</v>
      </c>
      <c r="C69" s="49">
        <f>B69*$B$11*$C$12</f>
        <v>18959.510779994274</v>
      </c>
      <c r="D69" s="90"/>
      <c r="E69" s="110">
        <f>'[5]МУП'!$BW$71</f>
        <v>1.7202268298583137</v>
      </c>
      <c r="F69" s="85">
        <f>E69*$B$11*$C$12</f>
        <v>23781.447832059243</v>
      </c>
      <c r="G69" s="85">
        <f>H69/$H$12/$G$11</f>
        <v>1.5458298472307885</v>
      </c>
      <c r="H69" s="86">
        <f>F69+C69</f>
        <v>42740.95861205352</v>
      </c>
    </row>
    <row r="70" spans="1:8" ht="12.75" hidden="1">
      <c r="A70" s="16" t="s">
        <v>22</v>
      </c>
      <c r="B70" s="54">
        <f>B69*20%</f>
        <v>0.27428657292065267</v>
      </c>
      <c r="C70" s="49">
        <f>B70*$B$11*$C$12</f>
        <v>3791.902155998855</v>
      </c>
      <c r="D70" s="92"/>
      <c r="E70" s="110">
        <f>E69*20%</f>
        <v>0.34404536597166274</v>
      </c>
      <c r="F70" s="85">
        <f>E70*$B$11*$C$12</f>
        <v>4756.289566411848</v>
      </c>
      <c r="G70" s="85">
        <f>H70/$H$12/$G$11</f>
        <v>0.30916596944615765</v>
      </c>
      <c r="H70" s="86">
        <f>F70+C70</f>
        <v>8548.191722410702</v>
      </c>
    </row>
    <row r="71" spans="1:8" ht="12.75" hidden="1">
      <c r="A71" s="16" t="s">
        <v>11</v>
      </c>
      <c r="B71" s="54">
        <f>C71/C12/B11</f>
        <v>0.061823812184814794</v>
      </c>
      <c r="C71" s="49">
        <f>'[4]мат-лы год'!$Q$71</f>
        <v>854.6894739301906</v>
      </c>
      <c r="D71" s="92"/>
      <c r="E71" s="110">
        <f>F71/F12/E11</f>
        <v>0.12017810912407334</v>
      </c>
      <c r="F71" s="85">
        <f>'[6]мат-лы год'!$Q$71</f>
        <v>1661.4142873966643</v>
      </c>
      <c r="G71" s="85">
        <f>H71/$H$12/$G$11</f>
        <v>0.09100096065444407</v>
      </c>
      <c r="H71" s="86">
        <f>F71+C71</f>
        <v>2516.103761326855</v>
      </c>
    </row>
    <row r="72" spans="1:8" ht="12.75" hidden="1">
      <c r="A72" s="16" t="s">
        <v>23</v>
      </c>
      <c r="B72" s="54">
        <f>'[2]МУП'!$BJ$63</f>
        <v>1.6899038462816418</v>
      </c>
      <c r="C72" s="49">
        <f>B72*$B$11*$C$12</f>
        <v>23362.244713305183</v>
      </c>
      <c r="D72" s="92"/>
      <c r="E72" s="110">
        <f>'[5]МУП'!$CD$71+'[5]МУП'!$CF$71+'[5]МУП'!$CJ$71</f>
        <v>2.459236275965445</v>
      </c>
      <c r="F72" s="85">
        <f>E72*$B$11*$C$12</f>
        <v>33997.95782071189</v>
      </c>
      <c r="G72" s="85">
        <f>H72/$H$12/$G$11</f>
        <v>2.0745700611235436</v>
      </c>
      <c r="H72" s="86">
        <f>F72+C72</f>
        <v>57360.20253401707</v>
      </c>
    </row>
    <row r="73" spans="1:8" ht="12.75">
      <c r="A73" s="130" t="s">
        <v>17</v>
      </c>
      <c r="B73" s="131"/>
      <c r="C73" s="132"/>
      <c r="D73" s="92"/>
      <c r="E73" s="114"/>
      <c r="F73" s="103"/>
      <c r="G73" s="103"/>
      <c r="H73" s="115"/>
    </row>
    <row r="74" spans="1:8" ht="12.75">
      <c r="A74" s="130" t="s">
        <v>18</v>
      </c>
      <c r="B74" s="131"/>
      <c r="C74" s="132"/>
      <c r="D74" s="92"/>
      <c r="E74" s="114"/>
      <c r="F74" s="103"/>
      <c r="G74" s="103"/>
      <c r="H74" s="115"/>
    </row>
    <row r="75" spans="1:8" ht="12.75">
      <c r="A75" s="130" t="s">
        <v>19</v>
      </c>
      <c r="B75" s="131"/>
      <c r="C75" s="132"/>
      <c r="D75" s="92"/>
      <c r="E75" s="114"/>
      <c r="F75" s="103"/>
      <c r="G75" s="103"/>
      <c r="H75" s="115"/>
    </row>
    <row r="76" spans="1:8" ht="12.75">
      <c r="A76" s="58" t="s">
        <v>32</v>
      </c>
      <c r="B76" s="59"/>
      <c r="C76" s="60"/>
      <c r="D76" s="92"/>
      <c r="E76" s="31"/>
      <c r="F76" s="104"/>
      <c r="G76" s="104"/>
      <c r="H76" s="116"/>
    </row>
    <row r="77" spans="1:8" ht="13.5" customHeight="1">
      <c r="A77" s="58" t="s">
        <v>33</v>
      </c>
      <c r="B77" s="59"/>
      <c r="C77" s="60"/>
      <c r="D77" s="92"/>
      <c r="E77" s="31"/>
      <c r="F77" s="104"/>
      <c r="G77" s="104"/>
      <c r="H77" s="116"/>
    </row>
    <row r="78" spans="1:8" ht="12.75">
      <c r="A78" s="58" t="s">
        <v>34</v>
      </c>
      <c r="B78" s="59"/>
      <c r="C78" s="60"/>
      <c r="D78" s="92"/>
      <c r="E78" s="31"/>
      <c r="F78" s="104"/>
      <c r="G78" s="104"/>
      <c r="H78" s="116"/>
    </row>
    <row r="79" spans="1:8" ht="13.5" thickBot="1">
      <c r="A79" s="136" t="s">
        <v>75</v>
      </c>
      <c r="B79" s="137"/>
      <c r="C79" s="138"/>
      <c r="D79" s="92"/>
      <c r="E79" s="119"/>
      <c r="F79" s="120"/>
      <c r="G79" s="120"/>
      <c r="H79" s="121"/>
    </row>
    <row r="80" spans="1:8" s="1" customFormat="1" ht="13.5" thickBot="1">
      <c r="A80" s="15" t="s">
        <v>67</v>
      </c>
      <c r="B80" s="14">
        <f>B14+B15+B25</f>
        <v>10.978496975007488</v>
      </c>
      <c r="C80" s="45">
        <f>C25+C15+C14</f>
        <v>151773.3292806885</v>
      </c>
      <c r="D80" s="35"/>
      <c r="E80" s="100">
        <f>E14+E15+E25</f>
        <v>11.914040204992457</v>
      </c>
      <c r="F80" s="101">
        <f>F25+F15+F14</f>
        <v>164706.8402179387</v>
      </c>
      <c r="G80" s="100">
        <f>G14+G15+G25</f>
        <v>11.446268589999974</v>
      </c>
      <c r="H80" s="101">
        <f>H25+H15+H14</f>
        <v>316480.16949862725</v>
      </c>
    </row>
    <row r="81" spans="1:8" ht="12.75" hidden="1">
      <c r="A81" s="5"/>
      <c r="B81" s="6"/>
      <c r="C81" s="5"/>
      <c r="E81" s="6"/>
      <c r="F81" s="5"/>
      <c r="G81" s="6"/>
      <c r="H81" s="5"/>
    </row>
    <row r="82" spans="1:8" s="1" customFormat="1" ht="12.75" hidden="1">
      <c r="A82" s="4" t="s">
        <v>1</v>
      </c>
      <c r="B82" s="2" t="e">
        <f>SUM(B83:B84)</f>
        <v>#DIV/0!</v>
      </c>
      <c r="C82" s="2">
        <f>SUM(C83:C84)</f>
        <v>63606.30477999427</v>
      </c>
      <c r="E82" s="2" t="e">
        <f>SUM(E83:E84)</f>
        <v>#DIV/0!</v>
      </c>
      <c r="F82" s="2">
        <f>SUM(F83:F84)</f>
        <v>73444.4759275602</v>
      </c>
      <c r="G82" s="2" t="e">
        <f>SUM(G83:G84)</f>
        <v>#DIV/0!</v>
      </c>
      <c r="H82" s="2">
        <f>SUM(H83:H84)</f>
        <v>115076.33070755449</v>
      </c>
    </row>
    <row r="83" spans="1:8" ht="12.75" hidden="1">
      <c r="A83" s="3" t="s">
        <v>6</v>
      </c>
      <c r="B83" s="2" t="e">
        <f>C83/B19</f>
        <v>#DIV/0!</v>
      </c>
      <c r="C83" s="2">
        <f>C27+C42+C69</f>
        <v>41631.854779994275</v>
      </c>
      <c r="E83" s="2" t="e">
        <f>F83/E19</f>
        <v>#DIV/0!</v>
      </c>
      <c r="F83" s="2">
        <f>F27+F42+F69</f>
        <v>51470.0259275602</v>
      </c>
      <c r="G83" s="2" t="e">
        <f>H83/G19</f>
        <v>#DIV/0!</v>
      </c>
      <c r="H83" s="2">
        <f>H27+H42+H69</f>
        <v>93101.88070755449</v>
      </c>
    </row>
    <row r="84" spans="1:8" ht="12.75" hidden="1">
      <c r="A84" s="3" t="s">
        <v>7</v>
      </c>
      <c r="B84" s="2" t="e">
        <f>C84/B19</f>
        <v>#DIV/0!</v>
      </c>
      <c r="C84" s="2">
        <v>21974.45</v>
      </c>
      <c r="E84" s="2" t="e">
        <f>F84/E19</f>
        <v>#DIV/0!</v>
      </c>
      <c r="F84" s="2">
        <v>21974.45</v>
      </c>
      <c r="G84" s="2" t="e">
        <f>H84/G19</f>
        <v>#DIV/0!</v>
      </c>
      <c r="H84" s="2">
        <v>21974.45</v>
      </c>
    </row>
    <row r="85" spans="1:8" ht="12.75" hidden="1">
      <c r="A85" s="3"/>
      <c r="B85" s="3"/>
      <c r="C85" s="3"/>
      <c r="E85" s="3"/>
      <c r="F85" s="3"/>
      <c r="G85" s="3"/>
      <c r="H85" s="3"/>
    </row>
    <row r="86" spans="1:8" ht="12.75" hidden="1">
      <c r="A86" s="3"/>
      <c r="B86" s="3"/>
      <c r="C86" s="3"/>
      <c r="E86" s="3"/>
      <c r="F86" s="3"/>
      <c r="G86" s="3"/>
      <c r="H86" s="3"/>
    </row>
    <row r="87" spans="1:8" ht="12.75" hidden="1">
      <c r="A87" s="3" t="s">
        <v>9</v>
      </c>
      <c r="B87" s="3">
        <v>11.67</v>
      </c>
      <c r="C87" s="3"/>
      <c r="E87" s="3">
        <v>11.67</v>
      </c>
      <c r="F87" s="3"/>
      <c r="G87" s="3">
        <v>11.67</v>
      </c>
      <c r="H87" s="3"/>
    </row>
    <row r="88" spans="1:8" ht="12.75" hidden="1">
      <c r="A88" s="3" t="s">
        <v>8</v>
      </c>
      <c r="B88" s="3">
        <v>1.7</v>
      </c>
      <c r="C88" s="3"/>
      <c r="E88" s="3">
        <v>1.7</v>
      </c>
      <c r="F88" s="3"/>
      <c r="G88" s="3">
        <v>1.7</v>
      </c>
      <c r="H88" s="3"/>
    </row>
    <row r="89" spans="1:8" ht="12.75" hidden="1">
      <c r="A89" s="3" t="s">
        <v>0</v>
      </c>
      <c r="B89" s="2">
        <v>8.82</v>
      </c>
      <c r="C89" s="2"/>
      <c r="E89" s="2">
        <v>8.82</v>
      </c>
      <c r="F89" s="2"/>
      <c r="G89" s="2">
        <v>8.82</v>
      </c>
      <c r="H89" s="2"/>
    </row>
    <row r="90" spans="1:8" ht="12.75" hidden="1">
      <c r="A90" s="71" t="s">
        <v>10</v>
      </c>
      <c r="B90" s="122">
        <f>B87-B88-B89</f>
        <v>1.1500000000000004</v>
      </c>
      <c r="C90" s="122"/>
      <c r="E90" s="122">
        <f>E87-E88-E89</f>
        <v>1.1500000000000004</v>
      </c>
      <c r="F90" s="122"/>
      <c r="G90" s="122">
        <f>G87-G88-G89</f>
        <v>1.1500000000000004</v>
      </c>
      <c r="H90" s="122"/>
    </row>
    <row r="91" spans="1:8" s="1" customFormat="1" ht="44.25" customHeight="1" thickBot="1">
      <c r="A91" s="124" t="s">
        <v>82</v>
      </c>
      <c r="B91" s="15">
        <f>C91/C12/B11</f>
        <v>0</v>
      </c>
      <c r="C91" s="123"/>
      <c r="D91" s="125"/>
      <c r="E91" s="128">
        <f>F91/F12/E11</f>
        <v>0.8305484426312516</v>
      </c>
      <c r="F91" s="123">
        <v>11482</v>
      </c>
      <c r="G91" s="128">
        <f>H91/H12/G11</f>
        <v>0.4152742213156258</v>
      </c>
      <c r="H91" s="123">
        <f>F91+C91</f>
        <v>11482</v>
      </c>
    </row>
    <row r="92" spans="1:8" ht="15">
      <c r="A92" s="9" t="s">
        <v>83</v>
      </c>
      <c r="B92" s="9"/>
      <c r="C92" s="41"/>
      <c r="E92" s="9"/>
      <c r="F92" s="41"/>
      <c r="G92" s="9"/>
      <c r="H92" s="41">
        <f>G6-H80-H91+B10</f>
        <v>40645.83050137278</v>
      </c>
    </row>
    <row r="93" ht="10.5" customHeight="1">
      <c r="A93" s="19"/>
    </row>
    <row r="95" spans="1:8" ht="12.75">
      <c r="A95" s="1" t="s">
        <v>21</v>
      </c>
      <c r="B95" s="1"/>
      <c r="C95" s="1"/>
      <c r="E95" s="1"/>
      <c r="F95" s="1"/>
      <c r="G95" s="1"/>
      <c r="H95" s="1"/>
    </row>
    <row r="96" spans="1:8" ht="12.75">
      <c r="A96" s="1"/>
      <c r="C96" s="1" t="s">
        <v>45</v>
      </c>
      <c r="F96" s="1"/>
      <c r="G96" s="1" t="s">
        <v>45</v>
      </c>
      <c r="H96" s="1"/>
    </row>
    <row r="97" spans="3:8" ht="12.75">
      <c r="C97" s="1"/>
      <c r="F97" s="1"/>
      <c r="G97" s="1"/>
      <c r="H97" s="1"/>
    </row>
    <row r="98" spans="3:8" ht="12.75">
      <c r="C98" s="1"/>
      <c r="F98" s="1"/>
      <c r="G98" s="1"/>
      <c r="H98" s="1"/>
    </row>
    <row r="99" spans="1:8" ht="12.75">
      <c r="A99" s="1" t="s">
        <v>25</v>
      </c>
      <c r="C99" s="1"/>
      <c r="F99" s="1"/>
      <c r="G99" s="1"/>
      <c r="H99" s="1"/>
    </row>
    <row r="100" spans="1:8" ht="12.75">
      <c r="A100" s="1"/>
      <c r="C100" s="1" t="s">
        <v>29</v>
      </c>
      <c r="F100" s="1"/>
      <c r="G100" s="1" t="s">
        <v>29</v>
      </c>
      <c r="H100" s="1"/>
    </row>
  </sheetData>
  <sheetProtection/>
  <mergeCells count="14">
    <mergeCell ref="A59:C59"/>
    <mergeCell ref="A60:C60"/>
    <mergeCell ref="A61:C61"/>
    <mergeCell ref="A66:C66"/>
    <mergeCell ref="A1:H3"/>
    <mergeCell ref="A65:C65"/>
    <mergeCell ref="A51:C51"/>
    <mergeCell ref="A46:C46"/>
    <mergeCell ref="A79:C79"/>
    <mergeCell ref="A75:C75"/>
    <mergeCell ref="A52:C52"/>
    <mergeCell ref="A55:C55"/>
    <mergeCell ref="A73:C73"/>
    <mergeCell ref="A74:C74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2013-03-05T09:13:28Z</cp:lastPrinted>
  <dcterms:created xsi:type="dcterms:W3CDTF">1996-10-08T23:32:33Z</dcterms:created>
  <dcterms:modified xsi:type="dcterms:W3CDTF">2013-05-17T07:50:48Z</dcterms:modified>
  <cp:category/>
  <cp:version/>
  <cp:contentType/>
  <cp:contentStatus/>
</cp:coreProperties>
</file>