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6885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C4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1441,89- автомат (февраль)</t>
        </r>
      </text>
    </comment>
  </commentList>
</comments>
</file>

<file path=xl/sharedStrings.xml><?xml version="1.0" encoding="utf-8"?>
<sst xmlns="http://schemas.openxmlformats.org/spreadsheetml/2006/main" count="99" uniqueCount="76">
  <si>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</si>
  <si>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</si>
  <si>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</si>
  <si>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</si>
  <si>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</si>
  <si>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</si>
  <si>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</si>
  <si>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</si>
  <si>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</si>
  <si>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</si>
  <si>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</si>
  <si>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</si>
  <si>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</si>
  <si>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</si>
  <si>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</si>
  <si>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</si>
  <si>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</si>
  <si>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</si>
  <si>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</si>
  <si>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</si>
  <si>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</si>
  <si>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</si>
  <si>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</si>
  <si>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</si>
  <si>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</si>
  <si>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</si>
  <si>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</si>
  <si>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</si>
  <si>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Техническое обслуживание общедомовой системы хол. и гор. водоснабжения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</si>
  <si>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</si>
  <si>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</si>
  <si>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</si>
  <si>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</si>
  <si>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</si>
  <si>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</si>
  <si>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</si>
  <si>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</si>
  <si>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</si>
  <si>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</si>
  <si>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</si>
  <si>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дератизация (площадь подвала-150м2)</t>
    </r>
  </si>
  <si>
    <t>Г.В. Ивахненко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</si>
  <si>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</si>
  <si>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</si>
  <si>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</si>
  <si>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* Задолженностью считается неоплата свыше двух месяцев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</si>
  <si>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дезинсекция (площадь подвала- м2)</t>
    </r>
  </si>
  <si>
    <t>Начислено за период</t>
  </si>
  <si>
    <t>Поступило в отчетном периоде</t>
  </si>
  <si>
    <t>руб. за период</t>
  </si>
  <si>
    <t xml:space="preserve"> - устройство ограждений в местах потенциального обрушения сосулек (январь 2012)</t>
  </si>
  <si>
    <t xml:space="preserve"> - обследование освещения в подъезде (январь 2012)</t>
  </si>
  <si>
    <t xml:space="preserve"> - ремонт трубопровода ГВС, установка хомута (февраль 2012)</t>
  </si>
  <si>
    <t xml:space="preserve"> - ремонт кровельного покрытия (17.02.2012)</t>
  </si>
  <si>
    <t xml:space="preserve"> - очистка кровли от наледи (сосулек) при помощи промышленных альпенистов (февраль 2012)</t>
  </si>
  <si>
    <r>
      <t>Дополнительные услуги</t>
    </r>
    <r>
      <rPr>
        <sz val="10"/>
        <rFont val="Arial"/>
        <family val="0"/>
      </rPr>
      <t xml:space="preserve"> (локальная смета) - замена вводного автомата (27.02.2012)</t>
    </r>
  </si>
  <si>
    <t xml:space="preserve"> - обследование водосточной системы на наличие течи в квартиру (кв.14) (29.02.2012)</t>
  </si>
  <si>
    <t xml:space="preserve"> - ремонт водостока (кв.14) (29.02.2012)</t>
  </si>
  <si>
    <t xml:space="preserve"> - сварка технологического отверстия на трубопроводе Т/У (12.03.2012) </t>
  </si>
  <si>
    <t xml:space="preserve"> - очистка кровельного покрытия от наледи (сосулек) (16.03.2012)</t>
  </si>
  <si>
    <t>Отчет ООО УК "ЖЭУ-2" за  2012 г. о выполненных работах по управлению, содержанию и техническому обслуживанию жилого многоквартирного дома ул.Пушкина 14</t>
  </si>
  <si>
    <t xml:space="preserve"> - Латочный ремонт кровли (кв.30) (27.07.2012)</t>
  </si>
  <si>
    <t xml:space="preserve"> - Замена светильников: 2 шт. (10.08.2012)</t>
  </si>
  <si>
    <t xml:space="preserve"> - Запуск горячего водоснабжения (10.08.2012)</t>
  </si>
  <si>
    <t xml:space="preserve"> - отключение системы отопления (апрель 2012 г.)</t>
  </si>
  <si>
    <t xml:space="preserve"> - запуск системы отопления (октябрь 2012)</t>
  </si>
  <si>
    <t>Остаток денежных средств на 01.01.2013 г.</t>
  </si>
  <si>
    <t>Задолженность* на 01.01.2013 г.</t>
  </si>
  <si>
    <t xml:space="preserve"> - Устранение течи стояка системы отопления (18.09.2012)</t>
  </si>
  <si>
    <t xml:space="preserve">  - замена ламп накаливания - 8 шт; ремонт патрона - 2 шт; выключателей -1 шт.</t>
  </si>
  <si>
    <t xml:space="preserve"> - Монтаж патронов: 1 шт. (2 п.) (09.11.2012)</t>
  </si>
  <si>
    <t xml:space="preserve"> - Выезд мастера (18.12.2012)</t>
  </si>
  <si>
    <t xml:space="preserve"> - Устройство ограждений в местах потенциального обрушения сосулек (12.2012)</t>
  </si>
  <si>
    <t>Содержание и техническое обслуживание  многоквартирного дома</t>
  </si>
  <si>
    <t>руб.</t>
  </si>
  <si>
    <t>Остаток денежных средств на 01.01.2012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</si>
</sst>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2" fontId="8" fillId="0" borderId="10" xfId="0" applyNumberFormat="1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2" fontId="6" fillId="0" borderId="0" xfId="0" applyNumberFormat="1" applyFont="1" applyAlignment="1">
      <alignment/>
    </xf>
    <xf numFmtId="0" fontId="0" fillId="4" borderId="20" xfId="0" applyFill="1" applyBorder="1" applyAlignment="1">
      <alignment wrapText="1"/>
    </xf>
    <xf numFmtId="0" fontId="0" fillId="4" borderId="20" xfId="0" applyFill="1" applyBorder="1" applyAlignment="1">
      <alignment/>
    </xf>
    <xf numFmtId="0" fontId="5" fillId="0" borderId="2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0" fillId="4" borderId="24" xfId="0" applyFill="1" applyBorder="1" applyAlignment="1">
      <alignment/>
    </xf>
    <xf numFmtId="2" fontId="1" fillId="4" borderId="25" xfId="0" applyNumberFormat="1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2" fontId="0" fillId="0" borderId="26" xfId="0" applyNumberFormat="1" applyBorder="1" applyAlignment="1">
      <alignment/>
    </xf>
    <xf numFmtId="2" fontId="0" fillId="0" borderId="26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2" fontId="1" fillId="0" borderId="28" xfId="0" applyNumberFormat="1" applyFont="1" applyBorder="1" applyAlignment="1">
      <alignment/>
    </xf>
    <xf numFmtId="2" fontId="1" fillId="0" borderId="25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29" xfId="0" applyNumberFormat="1" applyFont="1" applyBorder="1" applyAlignment="1">
      <alignment wrapText="1"/>
    </xf>
    <xf numFmtId="2" fontId="1" fillId="0" borderId="11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/>
    </xf>
    <xf numFmtId="0" fontId="1" fillId="0" borderId="28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34" xfId="0" applyFont="1" applyBorder="1" applyAlignment="1">
      <alignment wrapText="1"/>
    </xf>
    <xf numFmtId="2" fontId="0" fillId="0" borderId="33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0" fontId="2" fillId="0" borderId="32" xfId="0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21" xfId="0" applyFill="1" applyBorder="1" applyAlignment="1">
      <alignment/>
    </xf>
    <xf numFmtId="2" fontId="0" fillId="4" borderId="38" xfId="0" applyNumberForma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2" fontId="9" fillId="0" borderId="40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5" fillId="0" borderId="14" xfId="0" applyFont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30">
          <cell r="R30">
            <v>0.6</v>
          </cell>
          <cell r="X30">
            <v>0.71</v>
          </cell>
          <cell r="AH30">
            <v>1.04</v>
          </cell>
          <cell r="AN30">
            <v>1.24</v>
          </cell>
        </row>
      </sheetData>
      <sheetData sheetId="3">
        <row r="30">
          <cell r="C30">
            <v>1946.7</v>
          </cell>
          <cell r="L30">
            <v>1236.1545</v>
          </cell>
          <cell r="M30">
            <v>700.812</v>
          </cell>
          <cell r="P30">
            <v>425.93796</v>
          </cell>
          <cell r="AN30">
            <v>1.649600099999999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30">
          <cell r="BC30">
            <v>1.6739916344542378</v>
          </cell>
          <cell r="BJ30">
            <v>2.0134180051000623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35">
          <cell r="O35">
            <v>171.27</v>
          </cell>
          <cell r="P35">
            <v>1725.88</v>
          </cell>
          <cell r="Q35">
            <v>877.266177015139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93">
          <cell r="O93">
            <v>143815.78</v>
          </cell>
          <cell r="P93">
            <v>145170.97</v>
          </cell>
        </row>
      </sheetData>
      <sheetData sheetId="4">
        <row r="76">
          <cell r="AM76">
            <v>87473.61</v>
          </cell>
          <cell r="AN76">
            <v>78901.20000000001</v>
          </cell>
        </row>
      </sheetData>
      <sheetData sheetId="6">
        <row r="30">
          <cell r="AG30">
            <v>504</v>
          </cell>
          <cell r="AN30">
            <v>0</v>
          </cell>
          <cell r="AS3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36">
          <cell r="V36">
            <v>0.7400846127495422</v>
          </cell>
          <cell r="AB36">
            <v>0.333038075737294</v>
          </cell>
          <cell r="AD36">
            <v>0.6290719208371108</v>
          </cell>
          <cell r="AH36">
            <v>0.09924534656971362</v>
          </cell>
          <cell r="AZ36">
            <v>1.2745262026028525</v>
          </cell>
          <cell r="BF36">
            <v>0.5735367911712836</v>
          </cell>
          <cell r="BH36">
            <v>1.0833472722124249</v>
          </cell>
          <cell r="BL36">
            <v>0.17091396376904258</v>
          </cell>
          <cell r="BW36">
            <v>2.099734807929947</v>
          </cell>
          <cell r="CD36">
            <v>0.9448806635684763</v>
          </cell>
          <cell r="CF36">
            <v>1.7847745867404552</v>
          </cell>
          <cell r="CJ36">
            <v>0.27212563110772114</v>
          </cell>
        </row>
      </sheetData>
      <sheetData sheetId="1">
        <row r="36">
          <cell r="R36">
            <v>467.20799999999997</v>
          </cell>
        </row>
      </sheetData>
      <sheetData sheetId="2">
        <row r="93">
          <cell r="O93">
            <v>287704.78</v>
          </cell>
          <cell r="P93">
            <v>286299.99</v>
          </cell>
          <cell r="Q93">
            <v>2885.2</v>
          </cell>
        </row>
      </sheetData>
      <sheetData sheetId="4">
        <row r="76">
          <cell r="AM76">
            <v>183868.15999999997</v>
          </cell>
          <cell r="AN76">
            <v>162854.72</v>
          </cell>
          <cell r="AO76">
            <v>2839.08</v>
          </cell>
        </row>
      </sheetData>
      <sheetData sheetId="6">
        <row r="32">
          <cell r="AG32">
            <v>0</v>
          </cell>
          <cell r="AN32">
            <v>0</v>
          </cell>
          <cell r="AS3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35">
          <cell r="O35">
            <v>0</v>
          </cell>
          <cell r="P35">
            <v>2111.09</v>
          </cell>
          <cell r="Q35">
            <v>1705.300702535444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53">
      <selection activeCell="L89" sqref="L89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0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  <col min="9" max="9" width="18.421875" style="0" customWidth="1"/>
  </cols>
  <sheetData>
    <row r="1" spans="1:8" ht="15" customHeight="1">
      <c r="A1" s="131" t="s">
        <v>60</v>
      </c>
      <c r="B1" s="131"/>
      <c r="C1" s="131"/>
      <c r="D1" s="131"/>
      <c r="E1" s="131"/>
      <c r="F1" s="131"/>
      <c r="G1" s="131"/>
      <c r="H1" s="131"/>
    </row>
    <row r="2" spans="1:8" ht="15" customHeight="1">
      <c r="A2" s="131"/>
      <c r="B2" s="131"/>
      <c r="C2" s="131"/>
      <c r="D2" s="131"/>
      <c r="E2" s="131"/>
      <c r="F2" s="131"/>
      <c r="G2" s="131"/>
      <c r="H2" s="131"/>
    </row>
    <row r="3" spans="1:8" ht="15" customHeight="1">
      <c r="A3" s="131"/>
      <c r="B3" s="131"/>
      <c r="C3" s="131"/>
      <c r="D3" s="131"/>
      <c r="E3" s="131"/>
      <c r="F3" s="131"/>
      <c r="G3" s="131"/>
      <c r="H3" s="131"/>
    </row>
    <row r="4" spans="1:8" ht="13.5" thickBot="1">
      <c r="A4" s="24"/>
      <c r="B4" s="132"/>
      <c r="C4" s="132"/>
      <c r="E4" s="132"/>
      <c r="F4" s="132"/>
      <c r="G4" s="132"/>
      <c r="H4" s="132"/>
    </row>
    <row r="5" spans="1:9" s="25" customFormat="1" ht="40.5" customHeight="1" thickBot="1">
      <c r="A5" s="65" t="s">
        <v>26</v>
      </c>
      <c r="B5" s="66" t="s">
        <v>47</v>
      </c>
      <c r="C5" s="66" t="s">
        <v>48</v>
      </c>
      <c r="D5" s="66"/>
      <c r="E5" s="66" t="s">
        <v>47</v>
      </c>
      <c r="F5" s="66" t="s">
        <v>48</v>
      </c>
      <c r="G5" s="66" t="s">
        <v>47</v>
      </c>
      <c r="H5" s="66" t="s">
        <v>48</v>
      </c>
      <c r="I5" s="67" t="s">
        <v>67</v>
      </c>
    </row>
    <row r="6" spans="1:9" ht="12.75">
      <c r="A6" s="68" t="s">
        <v>42</v>
      </c>
      <c r="B6" s="69">
        <f>'[4]Начисление'!$O$93</f>
        <v>143815.78</v>
      </c>
      <c r="C6" s="69">
        <f>'[4]Начисление'!$P$93</f>
        <v>145170.97</v>
      </c>
      <c r="D6" s="69">
        <f>'[4]Начисление'!$O$93</f>
        <v>143815.78</v>
      </c>
      <c r="E6" s="69">
        <f>G6-B6</f>
        <v>143889.00000000003</v>
      </c>
      <c r="F6" s="69">
        <f>H6-C6</f>
        <v>141129.02</v>
      </c>
      <c r="G6" s="69">
        <f>'[5]Начисление'!$O$93</f>
        <v>287704.78</v>
      </c>
      <c r="H6" s="69">
        <f>'[5]Начисление'!$P$93</f>
        <v>286299.99</v>
      </c>
      <c r="I6" s="69">
        <f>'[5]Начисление'!$Q$93</f>
        <v>2885.2</v>
      </c>
    </row>
    <row r="7" spans="1:9" ht="13.5" thickBot="1">
      <c r="A7" s="14" t="s">
        <v>43</v>
      </c>
      <c r="B7" s="70">
        <f>'[4]Начис электроэн'!$AM$76</f>
        <v>87473.61</v>
      </c>
      <c r="C7" s="70">
        <f>'[4]Начис электроэн'!$AN$76</f>
        <v>78901.20000000001</v>
      </c>
      <c r="D7" s="70">
        <f>'[4]Начис электроэн'!$AM$76</f>
        <v>87473.61</v>
      </c>
      <c r="E7" s="69">
        <f>G7-B7</f>
        <v>96394.54999999997</v>
      </c>
      <c r="F7" s="69">
        <f>H7-C7</f>
        <v>83953.51999999999</v>
      </c>
      <c r="G7" s="70">
        <f>'[5]Начис электроэн'!$AM$76</f>
        <v>183868.15999999997</v>
      </c>
      <c r="H7" s="70">
        <f>'[5]Начис электроэн'!$AN$76</f>
        <v>162854.72</v>
      </c>
      <c r="I7" s="70">
        <f>'[5]Начис электроэн'!$AO$76</f>
        <v>2839.08</v>
      </c>
    </row>
    <row r="8" spans="1:9" ht="13.5" thickBot="1">
      <c r="A8" s="71" t="s">
        <v>44</v>
      </c>
      <c r="B8" s="72">
        <f aca="true" t="shared" si="0" ref="B8:I8">SUM(B6:B7)</f>
        <v>231289.39</v>
      </c>
      <c r="C8" s="72">
        <f t="shared" si="0"/>
        <v>224072.17</v>
      </c>
      <c r="D8" s="72">
        <f t="shared" si="0"/>
        <v>231289.39</v>
      </c>
      <c r="E8" s="72">
        <f t="shared" si="0"/>
        <v>240283.55</v>
      </c>
      <c r="F8" s="72">
        <f t="shared" si="0"/>
        <v>225082.53999999998</v>
      </c>
      <c r="G8" s="72">
        <f t="shared" si="0"/>
        <v>471572.94</v>
      </c>
      <c r="H8" s="72">
        <f t="shared" si="0"/>
        <v>449154.70999999996</v>
      </c>
      <c r="I8" s="73">
        <f t="shared" si="0"/>
        <v>5724.28</v>
      </c>
    </row>
    <row r="9" spans="1:8" ht="18.75" customHeight="1">
      <c r="A9" t="s">
        <v>45</v>
      </c>
      <c r="B9" s="74"/>
      <c r="C9" s="74"/>
      <c r="E9" s="74"/>
      <c r="F9" s="74"/>
      <c r="G9" s="74"/>
      <c r="H9" s="74"/>
    </row>
    <row r="10" spans="2:8" ht="18.75" customHeight="1">
      <c r="B10" s="74"/>
      <c r="C10" s="74"/>
      <c r="E10" s="74"/>
      <c r="F10" s="74"/>
      <c r="G10" s="74"/>
      <c r="H10" s="74"/>
    </row>
    <row r="11" spans="1:8" ht="18.75" customHeight="1">
      <c r="A11" s="127" t="s">
        <v>75</v>
      </c>
      <c r="B11" s="74"/>
      <c r="C11" s="74"/>
      <c r="E11" s="74"/>
      <c r="F11" s="74"/>
      <c r="G11" s="1">
        <v>4793.41</v>
      </c>
      <c r="H11" s="1" t="s">
        <v>74</v>
      </c>
    </row>
    <row r="12" spans="1:8" ht="12.75">
      <c r="A12" s="8" t="s">
        <v>34</v>
      </c>
      <c r="B12" s="54">
        <f>'[1]Подрядч'!$C$30</f>
        <v>1946.7</v>
      </c>
      <c r="C12" s="54" t="s">
        <v>33</v>
      </c>
      <c r="E12" s="54">
        <f>'[1]Подрядч'!$C$30</f>
        <v>1946.7</v>
      </c>
      <c r="F12" s="54" t="s">
        <v>33</v>
      </c>
      <c r="G12" s="54">
        <f>'[1]Подрядч'!$C$30</f>
        <v>1946.7</v>
      </c>
      <c r="H12" s="54" t="s">
        <v>33</v>
      </c>
    </row>
    <row r="13" spans="1:8" ht="13.5" thickBot="1">
      <c r="A13" s="18"/>
      <c r="B13" s="55"/>
      <c r="C13" s="64">
        <v>6</v>
      </c>
      <c r="E13" s="55"/>
      <c r="F13" s="64">
        <v>6</v>
      </c>
      <c r="G13" s="55"/>
      <c r="H13" s="64">
        <v>12</v>
      </c>
    </row>
    <row r="14" spans="1:8" s="25" customFormat="1" ht="26.25" thickBot="1">
      <c r="A14" s="20" t="s">
        <v>26</v>
      </c>
      <c r="B14" s="56" t="s">
        <v>35</v>
      </c>
      <c r="C14" s="51" t="s">
        <v>49</v>
      </c>
      <c r="D14" s="38"/>
      <c r="E14" s="56" t="s">
        <v>35</v>
      </c>
      <c r="F14" s="51" t="s">
        <v>49</v>
      </c>
      <c r="G14" s="56" t="s">
        <v>35</v>
      </c>
      <c r="H14" s="51" t="s">
        <v>49</v>
      </c>
    </row>
    <row r="15" spans="1:8" ht="12.75">
      <c r="A15" s="19" t="s">
        <v>13</v>
      </c>
      <c r="B15" s="57">
        <f>'[1]Подрядч'!$AN$30</f>
        <v>1.649600099999999</v>
      </c>
      <c r="C15" s="58">
        <f>B15*B12*C13</f>
        <v>19267.659088019987</v>
      </c>
      <c r="D15" s="39"/>
      <c r="E15" s="57"/>
      <c r="F15" s="58"/>
      <c r="G15" s="57">
        <f>H15/H13/G12</f>
        <v>0.8248000499999995</v>
      </c>
      <c r="H15" s="58">
        <f>C15+F15</f>
        <v>19267.659088019987</v>
      </c>
    </row>
    <row r="16" spans="1:8" ht="12.75">
      <c r="A16" s="10" t="s">
        <v>12</v>
      </c>
      <c r="B16" s="59">
        <f>C16/B12/C13</f>
        <v>1.7544993587438569</v>
      </c>
      <c r="C16" s="60">
        <f>SUM(C17:C24)</f>
        <v>20492.90341</v>
      </c>
      <c r="D16" s="39"/>
      <c r="E16" s="59">
        <f>F16/E12/F13</f>
        <v>1.7308498163558843</v>
      </c>
      <c r="F16" s="60">
        <f>SUM(F17:F24)</f>
        <v>20216.672025</v>
      </c>
      <c r="G16" s="59">
        <f>H16/G12/H13</f>
        <v>1.7426745875498704</v>
      </c>
      <c r="H16" s="60">
        <f>SUM(H17:H24)</f>
        <v>40709.57543499999</v>
      </c>
    </row>
    <row r="17" spans="1:8" ht="12.75">
      <c r="A17" s="11" t="s">
        <v>14</v>
      </c>
      <c r="B17" s="61">
        <f>C17/$C$13/$B$12</f>
        <v>0.4975494126812897</v>
      </c>
      <c r="C17" s="80">
        <f>(C6*3.25%)+(B7*1.25%)</f>
        <v>5811.4766500000005</v>
      </c>
      <c r="D17" s="39"/>
      <c r="E17" s="61">
        <f>F17/$C$13/$B$12</f>
        <v>0.4958498163558842</v>
      </c>
      <c r="F17" s="80">
        <f>(F6*3.25%)+(E7*1.25%)</f>
        <v>5791.625024999999</v>
      </c>
      <c r="G17" s="61">
        <f>H17/$H$13/$G$12</f>
        <v>0.4966996145185869</v>
      </c>
      <c r="H17" s="80">
        <f>(H6*3.25%)+(G7*1.25%)</f>
        <v>11603.101674999998</v>
      </c>
    </row>
    <row r="18" spans="1:8" ht="12.75">
      <c r="A18" s="12" t="s">
        <v>18</v>
      </c>
      <c r="B18" s="61">
        <f aca="true" t="shared" si="1" ref="B18:B24">C18/$C$13/$B$12</f>
        <v>0.04314994606256742</v>
      </c>
      <c r="C18" s="62">
        <f>'[4]Подрядч факт'!$AG$30</f>
        <v>504</v>
      </c>
      <c r="D18" s="39"/>
      <c r="E18" s="61">
        <f aca="true" t="shared" si="2" ref="E18:E24">F18/$C$13/$B$12</f>
        <v>0</v>
      </c>
      <c r="F18" s="62">
        <f>'[5]Подрядч факт'!$AG$32</f>
        <v>0</v>
      </c>
      <c r="G18" s="61">
        <f aca="true" t="shared" si="3" ref="G18:G24">H18/$H$13/$G$12</f>
        <v>0.02157497303128371</v>
      </c>
      <c r="H18" s="62">
        <f>F18+C18</f>
        <v>504</v>
      </c>
    </row>
    <row r="19" spans="1:8" ht="12.75" hidden="1">
      <c r="A19" s="12" t="s">
        <v>19</v>
      </c>
      <c r="B19" s="61">
        <f t="shared" si="1"/>
        <v>0</v>
      </c>
      <c r="C19" s="62">
        <f>'[4]Подрядч факт'!$AH$30</f>
        <v>0</v>
      </c>
      <c r="D19" s="39"/>
      <c r="E19" s="61">
        <f t="shared" si="2"/>
        <v>0</v>
      </c>
      <c r="F19" s="62">
        <f>'[5]Подрядч факт'!$AH$32</f>
        <v>0</v>
      </c>
      <c r="G19" s="61">
        <f t="shared" si="3"/>
        <v>0</v>
      </c>
      <c r="H19" s="62">
        <f aca="true" t="shared" si="4" ref="H19:H24">F19+C19</f>
        <v>0</v>
      </c>
    </row>
    <row r="20" spans="1:8" ht="12.75" hidden="1">
      <c r="A20" s="12" t="s">
        <v>46</v>
      </c>
      <c r="B20" s="61">
        <f t="shared" si="1"/>
        <v>0</v>
      </c>
      <c r="C20" s="63">
        <f>'[4]Подрядч факт'!$AN$30</f>
        <v>0</v>
      </c>
      <c r="D20" s="39"/>
      <c r="E20" s="61">
        <f t="shared" si="2"/>
        <v>0</v>
      </c>
      <c r="F20" s="63">
        <f>'[5]Подрядч факт'!$AN$32</f>
        <v>0</v>
      </c>
      <c r="G20" s="61">
        <f t="shared" si="3"/>
        <v>0</v>
      </c>
      <c r="H20" s="62">
        <f t="shared" si="4"/>
        <v>0</v>
      </c>
    </row>
    <row r="21" spans="1:8" ht="13.5" customHeight="1" hidden="1">
      <c r="A21" s="12" t="s">
        <v>40</v>
      </c>
      <c r="B21" s="61">
        <f t="shared" si="1"/>
        <v>0</v>
      </c>
      <c r="C21" s="62">
        <f>'[4]Подрядч факт'!$AS$30</f>
        <v>0</v>
      </c>
      <c r="D21" s="39"/>
      <c r="E21" s="61">
        <f t="shared" si="2"/>
        <v>0</v>
      </c>
      <c r="F21" s="62">
        <f>'[5]Подрядч факт'!$AS$32</f>
        <v>0</v>
      </c>
      <c r="G21" s="61">
        <f t="shared" si="3"/>
        <v>0</v>
      </c>
      <c r="H21" s="62">
        <f t="shared" si="4"/>
        <v>0</v>
      </c>
    </row>
    <row r="22" spans="1:8" ht="25.5">
      <c r="A22" s="12" t="s">
        <v>15</v>
      </c>
      <c r="B22" s="61">
        <f t="shared" si="1"/>
        <v>0.635</v>
      </c>
      <c r="C22" s="62">
        <f>'[1]Подрядч'!$L$30*C13</f>
        <v>7416.927000000001</v>
      </c>
      <c r="D22" s="39"/>
      <c r="E22" s="61">
        <f t="shared" si="2"/>
        <v>0.635</v>
      </c>
      <c r="F22" s="62">
        <f>'[1]Подрядч'!$L$30*F13</f>
        <v>7416.927000000001</v>
      </c>
      <c r="G22" s="61">
        <f t="shared" si="3"/>
        <v>0.635</v>
      </c>
      <c r="H22" s="62">
        <f t="shared" si="4"/>
        <v>14833.854000000001</v>
      </c>
    </row>
    <row r="23" spans="1:8" ht="25.5">
      <c r="A23" s="12" t="s">
        <v>16</v>
      </c>
      <c r="B23" s="61">
        <f t="shared" si="1"/>
        <v>0.36</v>
      </c>
      <c r="C23" s="62">
        <f>'[1]Подрядч'!$M$30*C13</f>
        <v>4204.872</v>
      </c>
      <c r="D23" s="39"/>
      <c r="E23" s="61">
        <f t="shared" si="2"/>
        <v>0.36</v>
      </c>
      <c r="F23" s="62">
        <f>'[1]Подрядч'!$M$30*F13</f>
        <v>4204.872</v>
      </c>
      <c r="G23" s="61">
        <f t="shared" si="3"/>
        <v>0.36</v>
      </c>
      <c r="H23" s="62">
        <f t="shared" si="4"/>
        <v>8409.744</v>
      </c>
    </row>
    <row r="24" spans="1:8" ht="26.25" thickBot="1">
      <c r="A24" s="81" t="s">
        <v>17</v>
      </c>
      <c r="B24" s="82">
        <f t="shared" si="1"/>
        <v>0.2188</v>
      </c>
      <c r="C24" s="83">
        <f>'[1]Подрядч'!$P$30*C13</f>
        <v>2555.62776</v>
      </c>
      <c r="D24" s="42"/>
      <c r="E24" s="82">
        <f t="shared" si="2"/>
        <v>0.23999999999999996</v>
      </c>
      <c r="F24" s="83">
        <f>'[5]Подрядч'!$R$36*F13</f>
        <v>2803.2479999999996</v>
      </c>
      <c r="G24" s="82">
        <f t="shared" si="3"/>
        <v>0.22939999999999997</v>
      </c>
      <c r="H24" s="83">
        <f t="shared" si="4"/>
        <v>5358.875759999999</v>
      </c>
    </row>
    <row r="25" spans="1:8" ht="38.25" customHeight="1" thickBot="1">
      <c r="A25" s="65" t="s">
        <v>73</v>
      </c>
      <c r="B25" s="15">
        <f>C25/C13/B12</f>
        <v>8.054292158241106</v>
      </c>
      <c r="C25" s="50">
        <f>C26+C39+C65</f>
        <v>94075.74326668776</v>
      </c>
      <c r="D25" s="43">
        <f>D26+D39+D65</f>
        <v>50290.20966668775</v>
      </c>
      <c r="E25" s="99">
        <f>F25/F13/E12</f>
        <v>11.031441811636327</v>
      </c>
      <c r="F25" s="100">
        <f>F26+F39+F65</f>
        <v>128849.44664827464</v>
      </c>
      <c r="G25" s="99">
        <f>H25/H13/G12</f>
        <v>9.542866984938717</v>
      </c>
      <c r="H25" s="100">
        <f>H26+H39+H65</f>
        <v>222925.1899149624</v>
      </c>
    </row>
    <row r="26" spans="1:8" ht="13.5" thickBot="1">
      <c r="A26" s="84" t="s">
        <v>2</v>
      </c>
      <c r="B26" s="85">
        <f>C26/B12/C13</f>
        <v>1.4446632763137615</v>
      </c>
      <c r="C26" s="86">
        <f>SUM(C27:C30)</f>
        <v>16873.956</v>
      </c>
      <c r="D26" s="88">
        <f>SUM(D27:D33)</f>
        <v>1040.33</v>
      </c>
      <c r="E26" s="95">
        <f>F26/E12/F13</f>
        <v>1.9494568784435693</v>
      </c>
      <c r="F26" s="96">
        <f>SUM(F27:F30)</f>
        <v>22770.046231596578</v>
      </c>
      <c r="G26" s="125">
        <f>H26/G12/H13</f>
        <v>1.6970600773786655</v>
      </c>
      <c r="H26" s="126">
        <f>SUM(H27:H30)</f>
        <v>39644.002231596576</v>
      </c>
    </row>
    <row r="27" spans="1:8" ht="12.75" hidden="1">
      <c r="A27" s="14" t="s">
        <v>3</v>
      </c>
      <c r="B27" s="26">
        <f>'[1]МУП'!$R$30</f>
        <v>0.6</v>
      </c>
      <c r="C27" s="46">
        <f>B27*$B$12*$C$13</f>
        <v>7008.12</v>
      </c>
      <c r="D27" s="89"/>
      <c r="E27" s="97">
        <f>'[5]МУП'!$V$36</f>
        <v>0.7400846127495422</v>
      </c>
      <c r="F27" s="103">
        <f>E27*$B$12*$C$13</f>
        <v>8644.336293837203</v>
      </c>
      <c r="G27" s="119">
        <f>H27/$H$13/$G$12</f>
        <v>0.6700423063747711</v>
      </c>
      <c r="H27" s="120">
        <f>F27+C27</f>
        <v>15652.456293837204</v>
      </c>
    </row>
    <row r="28" spans="1:8" s="7" customFormat="1" ht="12.75" hidden="1">
      <c r="A28" s="17" t="s">
        <v>29</v>
      </c>
      <c r="B28" s="26">
        <f>B27*20%</f>
        <v>0.12</v>
      </c>
      <c r="C28" s="46">
        <f>B28*$B$12*$C$13</f>
        <v>1401.6239999999998</v>
      </c>
      <c r="D28" s="90"/>
      <c r="E28" s="97">
        <f>E27*20%</f>
        <v>0.14801692254990845</v>
      </c>
      <c r="F28" s="103">
        <f>E28*$B$12*$C$13</f>
        <v>1728.8672587674407</v>
      </c>
      <c r="G28" s="119">
        <f>H28/$H$13/$G$12</f>
        <v>0.13400846127495422</v>
      </c>
      <c r="H28" s="120">
        <f>F28+C28</f>
        <v>3130.4912587674407</v>
      </c>
    </row>
    <row r="29" spans="1:8" s="7" customFormat="1" ht="12.75" hidden="1">
      <c r="A29" s="17" t="s">
        <v>11</v>
      </c>
      <c r="B29" s="26">
        <f>C29/C13/B12</f>
        <v>0.01466327631376175</v>
      </c>
      <c r="C29" s="46">
        <f>'[3]мат-лы год'!$O$35</f>
        <v>171.27</v>
      </c>
      <c r="D29" s="90"/>
      <c r="E29" s="97">
        <f>F29/F13/E12</f>
        <v>0</v>
      </c>
      <c r="F29" s="103">
        <f>'[6]мат-лы год'!$O$35</f>
        <v>0</v>
      </c>
      <c r="G29" s="119">
        <f>H29/$H$13/$G$12</f>
        <v>0.007331638156880875</v>
      </c>
      <c r="H29" s="120">
        <f>F29+C29</f>
        <v>171.27</v>
      </c>
    </row>
    <row r="30" spans="1:8" ht="12.75" hidden="1">
      <c r="A30" s="14" t="s">
        <v>30</v>
      </c>
      <c r="B30" s="26">
        <f>'[1]МУП'!$X$30</f>
        <v>0.71</v>
      </c>
      <c r="C30" s="46">
        <f>B30*$B$12*$C$13</f>
        <v>8292.942</v>
      </c>
      <c r="D30" s="91"/>
      <c r="E30" s="97">
        <f>'[5]МУП'!$AB$36+'[5]МУП'!$AD$36+'[5]МУП'!$AH$36</f>
        <v>1.0613553431441185</v>
      </c>
      <c r="F30" s="103">
        <f>E30*$B$12*$C$13</f>
        <v>12396.842678991932</v>
      </c>
      <c r="G30" s="119">
        <f>H30/$H$13/$G$12</f>
        <v>0.8856776715720591</v>
      </c>
      <c r="H30" s="120">
        <f>F30+C30</f>
        <v>20689.78467899193</v>
      </c>
    </row>
    <row r="31" spans="1:8" ht="13.5" customHeight="1">
      <c r="A31" s="150" t="s">
        <v>50</v>
      </c>
      <c r="B31" s="151"/>
      <c r="C31" s="152"/>
      <c r="D31" s="91"/>
      <c r="E31" s="109"/>
      <c r="F31" s="104"/>
      <c r="G31" s="121"/>
      <c r="H31" s="122"/>
    </row>
    <row r="32" spans="1:8" ht="13.5" customHeight="1">
      <c r="A32" s="22" t="s">
        <v>53</v>
      </c>
      <c r="B32" s="23"/>
      <c r="C32" s="40"/>
      <c r="D32" s="133">
        <v>1040.33</v>
      </c>
      <c r="E32" s="111"/>
      <c r="F32" s="105"/>
      <c r="G32" s="105"/>
      <c r="H32" s="112"/>
    </row>
    <row r="33" spans="1:8" ht="25.5" customHeight="1">
      <c r="A33" s="22" t="s">
        <v>54</v>
      </c>
      <c r="B33" s="23"/>
      <c r="C33" s="40"/>
      <c r="D33" s="134"/>
      <c r="E33" s="111"/>
      <c r="F33" s="105"/>
      <c r="G33" s="105"/>
      <c r="H33" s="112"/>
    </row>
    <row r="34" spans="1:8" ht="13.5" customHeight="1">
      <c r="A34" s="22" t="s">
        <v>56</v>
      </c>
      <c r="B34" s="23"/>
      <c r="C34" s="40"/>
      <c r="D34" s="75"/>
      <c r="E34" s="111"/>
      <c r="F34" s="105"/>
      <c r="G34" s="105"/>
      <c r="H34" s="112"/>
    </row>
    <row r="35" spans="1:8" ht="13.5" customHeight="1">
      <c r="A35" s="22" t="s">
        <v>57</v>
      </c>
      <c r="B35" s="23"/>
      <c r="C35" s="40"/>
      <c r="D35" s="75"/>
      <c r="E35" s="111"/>
      <c r="F35" s="105"/>
      <c r="G35" s="105"/>
      <c r="H35" s="112"/>
    </row>
    <row r="36" spans="1:8" ht="13.5" customHeight="1">
      <c r="A36" s="22" t="s">
        <v>59</v>
      </c>
      <c r="B36" s="23"/>
      <c r="C36" s="40"/>
      <c r="D36" s="75"/>
      <c r="E36" s="111"/>
      <c r="F36" s="105"/>
      <c r="G36" s="105"/>
      <c r="H36" s="112"/>
    </row>
    <row r="37" spans="1:8" ht="13.5" customHeight="1">
      <c r="A37" s="22" t="s">
        <v>61</v>
      </c>
      <c r="B37" s="23"/>
      <c r="C37" s="40"/>
      <c r="D37" s="75"/>
      <c r="E37" s="111"/>
      <c r="F37" s="105"/>
      <c r="G37" s="105"/>
      <c r="H37" s="112"/>
    </row>
    <row r="38" spans="1:8" ht="13.5" customHeight="1" thickBot="1">
      <c r="A38" s="22" t="s">
        <v>72</v>
      </c>
      <c r="B38" s="23"/>
      <c r="C38" s="40"/>
      <c r="D38" s="75"/>
      <c r="E38" s="111"/>
      <c r="F38" s="105"/>
      <c r="G38" s="105"/>
      <c r="H38" s="112"/>
    </row>
    <row r="39" spans="1:8" ht="13.5" thickBot="1">
      <c r="A39" s="13" t="s">
        <v>4</v>
      </c>
      <c r="B39" s="52">
        <f>C39/B12/C13</f>
        <v>2.512313795996644</v>
      </c>
      <c r="C39" s="53">
        <f>SUM(C40:C43)</f>
        <v>29344.327600000004</v>
      </c>
      <c r="D39" s="92">
        <f>SUM(D40:D63)</f>
        <v>1392.42</v>
      </c>
      <c r="E39" s="98">
        <f>F39/E12/F13</f>
        <v>3.4145230097703614</v>
      </c>
      <c r="F39" s="87">
        <f>SUM(F40:F43)</f>
        <v>39882.31165871977</v>
      </c>
      <c r="G39" s="123">
        <f>H39/G12/H13</f>
        <v>2.963418402883503</v>
      </c>
      <c r="H39" s="124">
        <f>SUM(H40:H43)</f>
        <v>69226.63925871978</v>
      </c>
    </row>
    <row r="40" spans="1:8" ht="12.75" hidden="1">
      <c r="A40" s="14" t="s">
        <v>3</v>
      </c>
      <c r="B40" s="26">
        <f>'[1]МУП'!$AH$30</f>
        <v>1.04</v>
      </c>
      <c r="C40" s="47">
        <f>B40*$B$12*$C$13</f>
        <v>12147.408000000001</v>
      </c>
      <c r="D40" s="89"/>
      <c r="E40" s="97">
        <f>'[5]МУП'!$AZ$36</f>
        <v>1.2745262026028525</v>
      </c>
      <c r="F40" s="106">
        <f>E40*$B$12*$C$13</f>
        <v>14886.72095164184</v>
      </c>
      <c r="G40" s="119">
        <f>H40/$H$13/$G$12</f>
        <v>1.1572631013014263</v>
      </c>
      <c r="H40" s="120">
        <f>F40+C40</f>
        <v>27034.12895164184</v>
      </c>
    </row>
    <row r="41" spans="1:8" s="7" customFormat="1" ht="12.75" hidden="1">
      <c r="A41" s="17" t="s">
        <v>29</v>
      </c>
      <c r="B41" s="26">
        <f>B40*20%</f>
        <v>0.20800000000000002</v>
      </c>
      <c r="C41" s="47">
        <f>B41*$B$12*$C$13</f>
        <v>2429.4816</v>
      </c>
      <c r="D41" s="90"/>
      <c r="E41" s="97">
        <f>E40*20%</f>
        <v>0.2549052405205705</v>
      </c>
      <c r="F41" s="106">
        <f>E41*$B$12*$C$13</f>
        <v>2977.344190328368</v>
      </c>
      <c r="G41" s="119">
        <f>H41/$H$13/$G$12</f>
        <v>0.2314526202602853</v>
      </c>
      <c r="H41" s="120">
        <f>F41+C41</f>
        <v>5406.825790328368</v>
      </c>
    </row>
    <row r="42" spans="1:8" s="7" customFormat="1" ht="12.75" hidden="1">
      <c r="A42" s="17" t="s">
        <v>11</v>
      </c>
      <c r="B42" s="26">
        <f>C42/C13/B12</f>
        <v>0.024313795996643895</v>
      </c>
      <c r="C42" s="47">
        <f>'[3]мат-лы год'!$P$35-1441.89</f>
        <v>283.99</v>
      </c>
      <c r="D42" s="90"/>
      <c r="E42" s="97">
        <f>F42/F13/E12</f>
        <v>0.05729353949418675</v>
      </c>
      <c r="F42" s="106">
        <f>'[6]мат-лы год'!$P$35-1441.89</f>
        <v>669.2</v>
      </c>
      <c r="G42" s="119">
        <f>H42/$H$13/$G$12</f>
        <v>0.04080366774541532</v>
      </c>
      <c r="H42" s="120">
        <f>F42+C42</f>
        <v>953.19</v>
      </c>
    </row>
    <row r="43" spans="1:8" ht="12.75" hidden="1">
      <c r="A43" s="14" t="s">
        <v>30</v>
      </c>
      <c r="B43" s="26">
        <f>'[1]МУП'!$AN$30</f>
        <v>1.24</v>
      </c>
      <c r="C43" s="47">
        <f>B43*$B$12*$C$13</f>
        <v>14483.448</v>
      </c>
      <c r="D43" s="91"/>
      <c r="E43" s="97">
        <f>'[5]МУП'!$BF$36+'[5]МУП'!$BH$36+'[5]МУП'!$BL$36</f>
        <v>1.8277980271527512</v>
      </c>
      <c r="F43" s="106">
        <f>E43*$B$12*$C$13</f>
        <v>21349.046516749564</v>
      </c>
      <c r="G43" s="119">
        <f>H43/$H$13/$G$12</f>
        <v>1.5338990135763755</v>
      </c>
      <c r="H43" s="120">
        <f>F43+C43</f>
        <v>35832.49451674956</v>
      </c>
    </row>
    <row r="44" spans="1:8" ht="12.75">
      <c r="A44" s="144" t="s">
        <v>20</v>
      </c>
      <c r="B44" s="145"/>
      <c r="C44" s="146"/>
      <c r="D44" s="91"/>
      <c r="E44" s="109"/>
      <c r="F44" s="104"/>
      <c r="G44" s="121"/>
      <c r="H44" s="122"/>
    </row>
    <row r="45" spans="1:8" ht="12.75">
      <c r="A45" s="128" t="s">
        <v>58</v>
      </c>
      <c r="B45" s="129"/>
      <c r="C45" s="130"/>
      <c r="D45" s="91"/>
      <c r="E45" s="109"/>
      <c r="F45" s="104"/>
      <c r="G45" s="121"/>
      <c r="H45" s="122"/>
    </row>
    <row r="46" spans="1:8" ht="12.75">
      <c r="A46" s="27" t="s">
        <v>64</v>
      </c>
      <c r="B46" s="28"/>
      <c r="C46" s="41"/>
      <c r="D46" s="91"/>
      <c r="E46" s="27"/>
      <c r="F46" s="107"/>
      <c r="G46" s="107"/>
      <c r="H46" s="113"/>
    </row>
    <row r="47" spans="1:8" ht="12.75">
      <c r="A47" s="27" t="s">
        <v>65</v>
      </c>
      <c r="B47" s="28"/>
      <c r="C47" s="41"/>
      <c r="D47" s="91"/>
      <c r="E47" s="27"/>
      <c r="F47" s="107"/>
      <c r="G47" s="107"/>
      <c r="H47" s="113"/>
    </row>
    <row r="48" spans="1:8" ht="12.75">
      <c r="A48" s="27" t="s">
        <v>68</v>
      </c>
      <c r="B48" s="28"/>
      <c r="C48" s="41"/>
      <c r="D48" s="91"/>
      <c r="E48" s="27"/>
      <c r="F48" s="107"/>
      <c r="G48" s="107"/>
      <c r="H48" s="113"/>
    </row>
    <row r="49" spans="1:8" ht="12.75" hidden="1">
      <c r="A49" s="144" t="s">
        <v>21</v>
      </c>
      <c r="B49" s="145"/>
      <c r="C49" s="146"/>
      <c r="D49" s="91"/>
      <c r="E49" s="109"/>
      <c r="F49" s="104"/>
      <c r="G49" s="121"/>
      <c r="H49" s="122"/>
    </row>
    <row r="50" spans="1:8" ht="12.75" hidden="1">
      <c r="A50" s="141"/>
      <c r="B50" s="142"/>
      <c r="C50" s="143"/>
      <c r="D50" s="91"/>
      <c r="E50" s="109"/>
      <c r="F50" s="104"/>
      <c r="G50" s="121"/>
      <c r="H50" s="122"/>
    </row>
    <row r="51" spans="1:8" ht="12.75" hidden="1">
      <c r="A51" s="33"/>
      <c r="B51" s="34"/>
      <c r="C51" s="45"/>
      <c r="D51" s="91"/>
      <c r="E51" s="33"/>
      <c r="F51" s="108"/>
      <c r="G51" s="107"/>
      <c r="H51" s="113"/>
    </row>
    <row r="52" spans="1:8" ht="12.75" hidden="1">
      <c r="A52" s="33"/>
      <c r="B52" s="34"/>
      <c r="C52" s="45"/>
      <c r="D52" s="91"/>
      <c r="E52" s="33"/>
      <c r="F52" s="108"/>
      <c r="G52" s="107"/>
      <c r="H52" s="113"/>
    </row>
    <row r="53" spans="1:8" ht="12.75">
      <c r="A53" s="144" t="s">
        <v>28</v>
      </c>
      <c r="B53" s="145"/>
      <c r="C53" s="146"/>
      <c r="D53" s="91"/>
      <c r="E53" s="109"/>
      <c r="F53" s="104"/>
      <c r="G53" s="121"/>
      <c r="H53" s="122"/>
    </row>
    <row r="54" spans="1:8" ht="12.75">
      <c r="A54" s="128" t="s">
        <v>52</v>
      </c>
      <c r="B54" s="129"/>
      <c r="C54" s="130"/>
      <c r="D54" s="91"/>
      <c r="E54" s="109"/>
      <c r="F54" s="104"/>
      <c r="G54" s="121"/>
      <c r="H54" s="122"/>
    </row>
    <row r="55" spans="1:8" ht="12.75">
      <c r="A55" s="128" t="s">
        <v>63</v>
      </c>
      <c r="B55" s="129"/>
      <c r="C55" s="130"/>
      <c r="D55" s="91">
        <v>869.42</v>
      </c>
      <c r="E55" s="109"/>
      <c r="F55" s="104"/>
      <c r="G55" s="121"/>
      <c r="H55" s="122"/>
    </row>
    <row r="56" spans="1:8" ht="12.75">
      <c r="A56" s="128" t="s">
        <v>71</v>
      </c>
      <c r="B56" s="129"/>
      <c r="C56" s="130"/>
      <c r="D56" s="91"/>
      <c r="E56" s="109"/>
      <c r="F56" s="104"/>
      <c r="G56" s="121"/>
      <c r="H56" s="122"/>
    </row>
    <row r="57" spans="1:8" ht="12.75" hidden="1">
      <c r="A57" s="128"/>
      <c r="B57" s="129"/>
      <c r="C57" s="130"/>
      <c r="D57" s="91">
        <v>523</v>
      </c>
      <c r="E57" s="109"/>
      <c r="F57" s="104"/>
      <c r="G57" s="121"/>
      <c r="H57" s="122"/>
    </row>
    <row r="58" spans="1:8" ht="12.75" hidden="1">
      <c r="A58" s="29"/>
      <c r="B58" s="30"/>
      <c r="C58" s="41"/>
      <c r="D58" s="91"/>
      <c r="E58" s="27"/>
      <c r="F58" s="107"/>
      <c r="G58" s="107"/>
      <c r="H58" s="113"/>
    </row>
    <row r="59" spans="1:8" ht="12.75">
      <c r="A59" s="147" t="s">
        <v>22</v>
      </c>
      <c r="B59" s="148"/>
      <c r="C59" s="146"/>
      <c r="D59" s="91"/>
      <c r="E59" s="109"/>
      <c r="F59" s="104"/>
      <c r="G59" s="121"/>
      <c r="H59" s="122"/>
    </row>
    <row r="60" spans="1:8" ht="12.75">
      <c r="A60" s="149" t="s">
        <v>69</v>
      </c>
      <c r="B60" s="139"/>
      <c r="C60" s="140"/>
      <c r="D60" s="91"/>
      <c r="E60" s="109"/>
      <c r="F60" s="104"/>
      <c r="G60" s="121"/>
      <c r="H60" s="122"/>
    </row>
    <row r="61" spans="1:8" ht="12.75">
      <c r="A61" s="31" t="s">
        <v>51</v>
      </c>
      <c r="B61" s="32"/>
      <c r="C61" s="48"/>
      <c r="D61" s="91"/>
      <c r="E61" s="33"/>
      <c r="F61" s="108"/>
      <c r="G61" s="107"/>
      <c r="H61" s="113"/>
    </row>
    <row r="62" spans="1:8" ht="12.75">
      <c r="A62" s="31" t="s">
        <v>62</v>
      </c>
      <c r="B62" s="32"/>
      <c r="C62" s="48"/>
      <c r="D62" s="91"/>
      <c r="E62" s="33"/>
      <c r="F62" s="108"/>
      <c r="G62" s="107"/>
      <c r="H62" s="113"/>
    </row>
    <row r="63" spans="1:8" ht="13.5" thickBot="1">
      <c r="A63" s="118" t="s">
        <v>70</v>
      </c>
      <c r="B63" s="32"/>
      <c r="C63" s="48"/>
      <c r="D63" s="93"/>
      <c r="E63" s="33"/>
      <c r="F63" s="108"/>
      <c r="G63" s="107"/>
      <c r="H63" s="113"/>
    </row>
    <row r="64" spans="1:8" ht="13.5" hidden="1" thickBot="1">
      <c r="A64" s="31"/>
      <c r="B64" s="32"/>
      <c r="C64" s="48"/>
      <c r="D64" s="76"/>
      <c r="E64" s="33"/>
      <c r="F64" s="108"/>
      <c r="G64" s="107"/>
      <c r="H64" s="113"/>
    </row>
    <row r="65" spans="1:8" ht="13.5" thickBot="1">
      <c r="A65" s="13" t="s">
        <v>5</v>
      </c>
      <c r="B65" s="52">
        <f>C65/B12/C13</f>
        <v>4.097315085930698</v>
      </c>
      <c r="C65" s="53">
        <f>SUM(C66:C69)</f>
        <v>47857.45966668775</v>
      </c>
      <c r="D65" s="94">
        <f>C65</f>
        <v>47857.45966668775</v>
      </c>
      <c r="E65" s="98">
        <f>F65/E12/F13</f>
        <v>5.667461923422397</v>
      </c>
      <c r="F65" s="87">
        <f>SUM(F66:F69)</f>
        <v>66197.08875795828</v>
      </c>
      <c r="G65" s="123">
        <f>H65/G12/H13</f>
        <v>4.882388504676547</v>
      </c>
      <c r="H65" s="124">
        <f>SUM(H66:H69)</f>
        <v>114054.54842464603</v>
      </c>
    </row>
    <row r="66" spans="1:8" ht="12.75" hidden="1">
      <c r="A66" s="14" t="s">
        <v>31</v>
      </c>
      <c r="B66" s="26">
        <f>'[2]МУП'!$BC$30</f>
        <v>1.6739916344542378</v>
      </c>
      <c r="C66" s="47">
        <f>B66*$B$12*$C$13</f>
        <v>19552.557088752386</v>
      </c>
      <c r="D66" s="89"/>
      <c r="E66" s="97">
        <f>'[5]МУП'!$BW$36</f>
        <v>2.099734807929947</v>
      </c>
      <c r="F66" s="106">
        <f>E66*$B$12*$C$13</f>
        <v>24525.32250358337</v>
      </c>
      <c r="G66" s="119">
        <f>H66/$H$13/$G$12</f>
        <v>1.8868632211920924</v>
      </c>
      <c r="H66" s="120">
        <f>F66+C66</f>
        <v>44077.879592335754</v>
      </c>
    </row>
    <row r="67" spans="1:8" ht="12.75" hidden="1">
      <c r="A67" s="17" t="s">
        <v>29</v>
      </c>
      <c r="B67" s="26">
        <f>B66*20%</f>
        <v>0.3347983268908476</v>
      </c>
      <c r="C67" s="47">
        <f>B67*$B$12*$C$13</f>
        <v>3910.511417750478</v>
      </c>
      <c r="D67" s="91"/>
      <c r="E67" s="97">
        <f>E66*20%</f>
        <v>0.41994696158598943</v>
      </c>
      <c r="F67" s="106">
        <f>E67*$B$12*$C$13</f>
        <v>4905.064500716674</v>
      </c>
      <c r="G67" s="119">
        <f>H67/$H$13/$G$12</f>
        <v>0.3773726442384185</v>
      </c>
      <c r="H67" s="120">
        <f>F67+C67</f>
        <v>8815.575918467151</v>
      </c>
    </row>
    <row r="68" spans="1:8" ht="12.75" hidden="1">
      <c r="A68" s="17" t="s">
        <v>11</v>
      </c>
      <c r="B68" s="26">
        <f>C68/C13/B12</f>
        <v>0.07510711948555153</v>
      </c>
      <c r="C68" s="47">
        <f>'[3]мат-лы год'!$Q$35</f>
        <v>877.266177015139</v>
      </c>
      <c r="D68" s="91"/>
      <c r="E68" s="97">
        <f>F68/F13/E12</f>
        <v>0.145999272489807</v>
      </c>
      <c r="F68" s="106">
        <f>'[6]мат-лы год'!$Q$35</f>
        <v>1705.300702535444</v>
      </c>
      <c r="G68" s="119">
        <f>H68/$H$13/$G$12</f>
        <v>0.11055319598767928</v>
      </c>
      <c r="H68" s="120">
        <f>F68+C68</f>
        <v>2582.566879550583</v>
      </c>
    </row>
    <row r="69" spans="1:8" ht="12.75" hidden="1">
      <c r="A69" s="14" t="s">
        <v>30</v>
      </c>
      <c r="B69" s="26">
        <f>'[2]МУП'!$BJ$30</f>
        <v>2.0134180051000623</v>
      </c>
      <c r="C69" s="47">
        <f>B69*$B$12*$C$13</f>
        <v>23517.12498316975</v>
      </c>
      <c r="D69" s="91"/>
      <c r="E69" s="97">
        <f>'[5]МУП'!$CD$36+'[5]МУП'!$CF$36+'[5]МУП'!$CJ$36</f>
        <v>3.0017808814166527</v>
      </c>
      <c r="F69" s="106">
        <f>E69*$B$12*$C$13</f>
        <v>35061.40105112279</v>
      </c>
      <c r="G69" s="119">
        <f>H69/$H$13/$G$12</f>
        <v>2.5075994432583575</v>
      </c>
      <c r="H69" s="120">
        <f>F69+C69</f>
        <v>58578.52603429254</v>
      </c>
    </row>
    <row r="70" spans="1:8" ht="12.75">
      <c r="A70" s="138" t="s">
        <v>23</v>
      </c>
      <c r="B70" s="139"/>
      <c r="C70" s="140"/>
      <c r="D70" s="91"/>
      <c r="E70" s="109"/>
      <c r="F70" s="104"/>
      <c r="G70" s="121"/>
      <c r="H70" s="122"/>
    </row>
    <row r="71" spans="1:8" ht="12.75">
      <c r="A71" s="138" t="s">
        <v>24</v>
      </c>
      <c r="B71" s="139"/>
      <c r="C71" s="140"/>
      <c r="D71" s="91"/>
      <c r="E71" s="109"/>
      <c r="F71" s="104"/>
      <c r="G71" s="104"/>
      <c r="H71" s="110"/>
    </row>
    <row r="72" spans="1:8" ht="12.75">
      <c r="A72" s="138" t="s">
        <v>25</v>
      </c>
      <c r="B72" s="139"/>
      <c r="C72" s="140"/>
      <c r="D72" s="91"/>
      <c r="E72" s="109"/>
      <c r="F72" s="104"/>
      <c r="G72" s="104"/>
      <c r="H72" s="110"/>
    </row>
    <row r="73" spans="1:8" ht="12.75">
      <c r="A73" s="36" t="s">
        <v>37</v>
      </c>
      <c r="B73" s="35"/>
      <c r="C73" s="49"/>
      <c r="D73" s="91"/>
      <c r="E73" s="33"/>
      <c r="F73" s="108"/>
      <c r="G73" s="108"/>
      <c r="H73" s="114"/>
    </row>
    <row r="74" spans="1:8" ht="12.75">
      <c r="A74" s="36" t="s">
        <v>38</v>
      </c>
      <c r="B74" s="35"/>
      <c r="C74" s="49"/>
      <c r="D74" s="91"/>
      <c r="E74" s="33"/>
      <c r="F74" s="108"/>
      <c r="G74" s="108"/>
      <c r="H74" s="114"/>
    </row>
    <row r="75" spans="1:8" ht="13.5" thickBot="1">
      <c r="A75" s="36" t="s">
        <v>39</v>
      </c>
      <c r="B75" s="35"/>
      <c r="C75" s="49"/>
      <c r="D75" s="91"/>
      <c r="E75" s="33"/>
      <c r="F75" s="108"/>
      <c r="G75" s="108"/>
      <c r="H75" s="114"/>
    </row>
    <row r="76" spans="1:8" ht="13.5" hidden="1" thickBot="1">
      <c r="A76" s="135"/>
      <c r="B76" s="136"/>
      <c r="C76" s="137"/>
      <c r="D76" s="91"/>
      <c r="E76" s="115"/>
      <c r="F76" s="116"/>
      <c r="G76" s="116"/>
      <c r="H76" s="117"/>
    </row>
    <row r="77" spans="1:8" s="1" customFormat="1" ht="13.5" thickBot="1">
      <c r="A77" s="16" t="s">
        <v>1</v>
      </c>
      <c r="B77" s="15">
        <f>B15+B16+B25</f>
        <v>11.458391616984962</v>
      </c>
      <c r="C77" s="50">
        <f>C25+C16+C15</f>
        <v>133836.30576470774</v>
      </c>
      <c r="D77" s="44"/>
      <c r="E77" s="101">
        <f>E15+E16+E25</f>
        <v>12.762291627992212</v>
      </c>
      <c r="F77" s="102">
        <f>F25+F16+F15</f>
        <v>149066.11867327464</v>
      </c>
      <c r="G77" s="101">
        <f>G15+G16+G25</f>
        <v>12.110341622488587</v>
      </c>
      <c r="H77" s="102">
        <f>H25+H16+H15</f>
        <v>282902.4244379824</v>
      </c>
    </row>
    <row r="78" spans="1:8" ht="13.5" hidden="1" thickBot="1">
      <c r="A78" s="5"/>
      <c r="B78" s="6"/>
      <c r="C78" s="5"/>
      <c r="E78" s="6"/>
      <c r="F78" s="5"/>
      <c r="G78" s="6"/>
      <c r="H78" s="5"/>
    </row>
    <row r="79" spans="1:8" s="1" customFormat="1" ht="13.5" hidden="1" thickBot="1">
      <c r="A79" s="4" t="s">
        <v>1</v>
      </c>
      <c r="B79" s="2" t="e">
        <f>SUM(B80:B81)</f>
        <v>#DIV/0!</v>
      </c>
      <c r="C79" s="2">
        <f>SUM(C80:C81)</f>
        <v>60682.53508875238</v>
      </c>
      <c r="E79" s="2" t="e">
        <f>SUM(E80:E81)</f>
        <v>#DIV/0!</v>
      </c>
      <c r="F79" s="2">
        <f>SUM(F80:F81)</f>
        <v>70030.82974906241</v>
      </c>
      <c r="G79" s="2" t="e">
        <f>SUM(G80:G81)</f>
        <v>#DIV/0!</v>
      </c>
      <c r="H79" s="2">
        <f>SUM(H80:H81)</f>
        <v>108738.9148378148</v>
      </c>
    </row>
    <row r="80" spans="1:8" ht="13.5" hidden="1" thickBot="1">
      <c r="A80" s="3" t="s">
        <v>6</v>
      </c>
      <c r="B80" s="2" t="e">
        <f>C80/B20</f>
        <v>#DIV/0!</v>
      </c>
      <c r="C80" s="2">
        <f>C27+C40+C66</f>
        <v>38708.085088752385</v>
      </c>
      <c r="E80" s="2" t="e">
        <f>F80/E20</f>
        <v>#DIV/0!</v>
      </c>
      <c r="F80" s="2">
        <f>F27+F40+F66</f>
        <v>48056.37974906241</v>
      </c>
      <c r="G80" s="2" t="e">
        <f>H80/G20</f>
        <v>#DIV/0!</v>
      </c>
      <c r="H80" s="2">
        <f>H27+H40+H66</f>
        <v>86764.4648378148</v>
      </c>
    </row>
    <row r="81" spans="1:8" ht="13.5" hidden="1" thickBot="1">
      <c r="A81" s="3" t="s">
        <v>7</v>
      </c>
      <c r="B81" s="2" t="e">
        <f>C81/B20</f>
        <v>#DIV/0!</v>
      </c>
      <c r="C81" s="2">
        <v>21974.45</v>
      </c>
      <c r="E81" s="2" t="e">
        <f>F81/E20</f>
        <v>#DIV/0!</v>
      </c>
      <c r="F81" s="2">
        <v>21974.45</v>
      </c>
      <c r="G81" s="2" t="e">
        <f>H81/G20</f>
        <v>#DIV/0!</v>
      </c>
      <c r="H81" s="2">
        <v>21974.45</v>
      </c>
    </row>
    <row r="82" spans="1:8" ht="13.5" hidden="1" thickBot="1">
      <c r="A82" s="3"/>
      <c r="B82" s="3"/>
      <c r="C82" s="3"/>
      <c r="E82" s="3"/>
      <c r="F82" s="3"/>
      <c r="G82" s="3"/>
      <c r="H82" s="3"/>
    </row>
    <row r="83" spans="1:8" ht="13.5" hidden="1" thickBot="1">
      <c r="A83" s="3"/>
      <c r="B83" s="3"/>
      <c r="C83" s="3"/>
      <c r="E83" s="3"/>
      <c r="F83" s="3"/>
      <c r="G83" s="3"/>
      <c r="H83" s="3"/>
    </row>
    <row r="84" spans="1:8" ht="13.5" hidden="1" thickBot="1">
      <c r="A84" s="3" t="s">
        <v>9</v>
      </c>
      <c r="B84" s="3">
        <v>11.67</v>
      </c>
      <c r="C84" s="3"/>
      <c r="E84" s="3">
        <v>11.67</v>
      </c>
      <c r="F84" s="3"/>
      <c r="G84" s="3">
        <v>11.67</v>
      </c>
      <c r="H84" s="3"/>
    </row>
    <row r="85" spans="1:8" ht="13.5" hidden="1" thickBot="1">
      <c r="A85" s="3" t="s">
        <v>8</v>
      </c>
      <c r="B85" s="3">
        <v>1.7</v>
      </c>
      <c r="C85" s="3"/>
      <c r="E85" s="3">
        <v>1.7</v>
      </c>
      <c r="F85" s="3"/>
      <c r="G85" s="3">
        <v>1.7</v>
      </c>
      <c r="H85" s="3"/>
    </row>
    <row r="86" spans="1:8" ht="13.5" hidden="1" thickBot="1">
      <c r="A86" s="3" t="s">
        <v>0</v>
      </c>
      <c r="B86" s="2">
        <v>8.82</v>
      </c>
      <c r="C86" s="2"/>
      <c r="E86" s="2">
        <v>8.82</v>
      </c>
      <c r="F86" s="2"/>
      <c r="G86" s="2">
        <v>8.82</v>
      </c>
      <c r="H86" s="2"/>
    </row>
    <row r="87" spans="1:8" ht="13.5" hidden="1" thickBot="1">
      <c r="A87" s="77" t="s">
        <v>10</v>
      </c>
      <c r="B87" s="78">
        <f>B84-B85-B86</f>
        <v>1.1500000000000004</v>
      </c>
      <c r="C87" s="78"/>
      <c r="E87" s="78">
        <f>E84-E85-E86</f>
        <v>1.1500000000000004</v>
      </c>
      <c r="F87" s="78"/>
      <c r="G87" s="78">
        <f>G84-G85-G86</f>
        <v>1.1500000000000004</v>
      </c>
      <c r="H87" s="78"/>
    </row>
    <row r="88" spans="1:8" ht="24.75" customHeight="1" thickBot="1">
      <c r="A88" s="65" t="s">
        <v>55</v>
      </c>
      <c r="B88" s="15">
        <f>C88/C13/B12</f>
        <v>0.15256588072122051</v>
      </c>
      <c r="C88" s="79">
        <v>1782</v>
      </c>
      <c r="E88" s="15"/>
      <c r="F88" s="79"/>
      <c r="G88" s="15">
        <f>H88/H13/G12</f>
        <v>0.07628294036061026</v>
      </c>
      <c r="H88" s="79">
        <v>1782</v>
      </c>
    </row>
    <row r="89" spans="1:8" ht="19.5" customHeight="1">
      <c r="A89" s="9" t="s">
        <v>66</v>
      </c>
      <c r="B89" s="9"/>
      <c r="C89" s="37"/>
      <c r="E89" s="9"/>
      <c r="F89" s="37"/>
      <c r="G89" s="9"/>
      <c r="H89" s="37">
        <f>G6-H77-H88+G11</f>
        <v>7813.765562017648</v>
      </c>
    </row>
    <row r="90" ht="24.75" customHeight="1">
      <c r="A90" s="21"/>
    </row>
    <row r="92" spans="1:8" ht="12.75">
      <c r="A92" s="1" t="s">
        <v>27</v>
      </c>
      <c r="B92" s="1"/>
      <c r="C92" s="1"/>
      <c r="E92" s="1"/>
      <c r="F92" s="1"/>
      <c r="G92" s="1"/>
      <c r="H92" s="1" t="s">
        <v>41</v>
      </c>
    </row>
    <row r="93" spans="1:8" ht="12.75">
      <c r="A93" s="1"/>
      <c r="C93" s="1" t="s">
        <v>41</v>
      </c>
      <c r="F93" s="1" t="s">
        <v>41</v>
      </c>
      <c r="H93" s="1"/>
    </row>
    <row r="94" spans="3:8" ht="12.75">
      <c r="C94" s="1"/>
      <c r="F94" s="1"/>
      <c r="H94" s="1"/>
    </row>
    <row r="95" spans="3:8" ht="12.75">
      <c r="C95" s="1"/>
      <c r="F95" s="1"/>
      <c r="H95" s="1"/>
    </row>
    <row r="96" spans="1:8" ht="12.75">
      <c r="A96" s="1" t="s">
        <v>32</v>
      </c>
      <c r="C96" s="1"/>
      <c r="F96" s="1"/>
      <c r="H96" s="1" t="s">
        <v>36</v>
      </c>
    </row>
    <row r="97" spans="1:6" ht="12.75">
      <c r="A97" s="1"/>
      <c r="C97" s="1" t="s">
        <v>36</v>
      </c>
      <c r="F97" s="1" t="s">
        <v>36</v>
      </c>
    </row>
  </sheetData>
  <sheetProtection/>
  <mergeCells count="21">
    <mergeCell ref="A45:C45"/>
    <mergeCell ref="A56:C56"/>
    <mergeCell ref="A76:C76"/>
    <mergeCell ref="A72:C72"/>
    <mergeCell ref="A50:C50"/>
    <mergeCell ref="A53:C53"/>
    <mergeCell ref="A70:C70"/>
    <mergeCell ref="A71:C71"/>
    <mergeCell ref="A59:C59"/>
    <mergeCell ref="A55:C55"/>
    <mergeCell ref="A60:C60"/>
    <mergeCell ref="A54:C54"/>
    <mergeCell ref="A1:H3"/>
    <mergeCell ref="A57:C57"/>
    <mergeCell ref="E4:F4"/>
    <mergeCell ref="G4:H4"/>
    <mergeCell ref="D32:D33"/>
    <mergeCell ref="B4:C4"/>
    <mergeCell ref="A49:C49"/>
    <mergeCell ref="A31:C31"/>
    <mergeCell ref="A44:C44"/>
  </mergeCells>
  <printOptions/>
  <pageMargins left="0.35433070866141736" right="0.15748031496062992" top="0.19" bottom="0.17" header="0.22" footer="0.16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2013-05-07T09:13:40Z</cp:lastPrinted>
  <dcterms:created xsi:type="dcterms:W3CDTF">1996-10-08T23:32:33Z</dcterms:created>
  <dcterms:modified xsi:type="dcterms:W3CDTF">2013-05-17T07:11:06Z</dcterms:modified>
  <cp:category/>
  <cp:version/>
  <cp:contentType/>
  <cp:contentStatus/>
</cp:coreProperties>
</file>