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21" yWindow="65296" windowWidth="15330" windowHeight="8550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C33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1149,5- участок канализации (январь)</t>
        </r>
      </text>
    </comment>
  </commentList>
</comments>
</file>

<file path=xl/sharedStrings.xml><?xml version="1.0" encoding="utf-8"?>
<sst xmlns="http://schemas.openxmlformats.org/spreadsheetml/2006/main" count="87" uniqueCount="73">
  <si>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</si>
  <si>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</si>
  <si>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</si>
  <si>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</si>
  <si>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</si>
  <si>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</si>
  <si>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</si>
  <si>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</si>
  <si>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</si>
  <si>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</si>
  <si>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</si>
  <si>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</si>
  <si>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</si>
  <si>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t>Итого по тарифу: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</si>
  <si>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</si>
  <si>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</si>
  <si>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</si>
  <si>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</si>
  <si>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</si>
  <si>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</si>
  <si>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</si>
  <si>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</si>
  <si>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</si>
  <si>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</si>
  <si>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</si>
  <si>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</si>
  <si>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</si>
  <si>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</si>
  <si>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</si>
  <si>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Техническое обслуживание общедомовой системы хол. и гор. водоснабжения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</si>
  <si>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</si>
  <si>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</si>
  <si>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</si>
  <si>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</si>
  <si>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</si>
  <si>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</si>
  <si>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</si>
  <si>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</si>
  <si>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</si>
  <si>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</si>
  <si>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</si>
  <si>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дератизация (площадь подвала- 280м2)</t>
    </r>
  </si>
  <si>
    <t>Г.В. Ивахненко</t>
  </si>
  <si>
    <t xml:space="preserve"> - покос газонов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</si>
  <si>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</si>
  <si>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</si>
  <si>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</si>
  <si>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* Задолженностью считается неоплата свыше двух месяцев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</si>
  <si>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дезинсекция (площадь подвала- м2)</t>
    </r>
  </si>
  <si>
    <t>Начислено за период</t>
  </si>
  <si>
    <t>Поступило в отчетном периоде</t>
  </si>
  <si>
    <t>руб. за период</t>
  </si>
  <si>
    <r>
      <t>Дополнительные услуги (локальная смета)</t>
    </r>
    <r>
      <rPr>
        <sz val="10"/>
        <rFont val="Arial"/>
        <family val="0"/>
      </rPr>
      <t xml:space="preserve"> - замена участка канализационного трубопровода (12.01.2012)</t>
    </r>
  </si>
  <si>
    <t>Поступило от ОАО "Вымпелком"</t>
  </si>
  <si>
    <t>Отчет ООО УК "ЖЭУ-2" за   2012 г. о выполненных работах по управлению, содержанию и техническому обслуживанию жилого многоквартирного дома ул.  Пушкина 3 А</t>
  </si>
  <si>
    <t>Начислено за 1 полугодие</t>
  </si>
  <si>
    <t>Поступило в 1 полугодии</t>
  </si>
  <si>
    <t>Начислено за 2 полугодие</t>
  </si>
  <si>
    <t>Поступило во 2 полугодии</t>
  </si>
  <si>
    <t xml:space="preserve"> - Смена 1 фланца на трубопроводе горячего водоснабжения d50 (12/04/2012)</t>
  </si>
  <si>
    <t xml:space="preserve"> - отключение системы отопления (04.2012 г.)</t>
  </si>
  <si>
    <t xml:space="preserve"> - Смазочные работы в теплоузле; набивка сальников на задвижки (25.06.2012)</t>
  </si>
  <si>
    <t xml:space="preserve"> - ремонт патрона - 1 шт;</t>
  </si>
  <si>
    <t xml:space="preserve"> - замена ламп 60 Вт - 9 шт.; патрона - 1 шт;</t>
  </si>
  <si>
    <t xml:space="preserve"> - Запуск горячего водоснабжения (10.08.2012)</t>
  </si>
  <si>
    <t xml:space="preserve"> - Запуск системы отопления (10.2012)</t>
  </si>
  <si>
    <t xml:space="preserve"> - Устранение течи крана на отоплении (11.10.2012)</t>
  </si>
  <si>
    <t xml:space="preserve"> - Установка бандажа на трубопроводе канализационной трубы (09.11.2012)</t>
  </si>
  <si>
    <t>Остаток денежных средств на 01.01.2013 г.</t>
  </si>
  <si>
    <t>Содержание и техническое обслуживание  многоквартирного дома</t>
  </si>
  <si>
    <t>Задолженность* на 01.01.2013 г.</t>
  </si>
  <si>
    <t>Ивахненко Г.В.</t>
  </si>
  <si>
    <t>Сычева С.А.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</si>
</sst>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i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/>
    </xf>
    <xf numFmtId="2" fontId="1" fillId="0" borderId="1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2" fontId="1" fillId="4" borderId="26" xfId="0" applyNumberFormat="1" applyFont="1" applyFill="1" applyBorder="1" applyAlignment="1">
      <alignment/>
    </xf>
    <xf numFmtId="0" fontId="1" fillId="0" borderId="27" xfId="0" applyFont="1" applyBorder="1" applyAlignment="1">
      <alignment wrapText="1"/>
    </xf>
    <xf numFmtId="0" fontId="2" fillId="0" borderId="28" xfId="0" applyFont="1" applyBorder="1" applyAlignment="1">
      <alignment/>
    </xf>
    <xf numFmtId="0" fontId="1" fillId="0" borderId="16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5" fillId="0" borderId="33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2" fontId="0" fillId="0" borderId="3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1" fillId="0" borderId="39" xfId="0" applyNumberFormat="1" applyFont="1" applyBorder="1" applyAlignment="1">
      <alignment wrapText="1"/>
    </xf>
    <xf numFmtId="0" fontId="5" fillId="0" borderId="14" xfId="0" applyFont="1" applyBorder="1" applyAlignment="1">
      <alignment horizontal="left"/>
    </xf>
    <xf numFmtId="2" fontId="1" fillId="0" borderId="36" xfId="0" applyNumberFormat="1" applyFont="1" applyBorder="1" applyAlignment="1">
      <alignment/>
    </xf>
    <xf numFmtId="2" fontId="1" fillId="0" borderId="15" xfId="0" applyNumberFormat="1" applyFont="1" applyBorder="1" applyAlignment="1">
      <alignment wrapText="1"/>
    </xf>
    <xf numFmtId="2" fontId="1" fillId="0" borderId="32" xfId="0" applyNumberFormat="1" applyFont="1" applyBorder="1" applyAlignment="1">
      <alignment wrapText="1"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1" fillId="0" borderId="44" xfId="0" applyNumberFormat="1" applyFont="1" applyFill="1" applyBorder="1" applyAlignment="1">
      <alignment/>
    </xf>
    <xf numFmtId="2" fontId="1" fillId="0" borderId="45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4" borderId="50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4" borderId="17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4" borderId="29" xfId="0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29">
          <cell r="R29">
            <v>0.6000000000000001</v>
          </cell>
          <cell r="X29">
            <v>0.71</v>
          </cell>
          <cell r="AH29">
            <v>1.04</v>
          </cell>
          <cell r="AN29">
            <v>1.24</v>
          </cell>
        </row>
      </sheetData>
      <sheetData sheetId="3">
        <row r="29">
          <cell r="C29">
            <v>1572.9</v>
          </cell>
          <cell r="L29">
            <v>998.7915</v>
          </cell>
          <cell r="M29">
            <v>566.244</v>
          </cell>
          <cell r="P29">
            <v>344.15052000000003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29">
          <cell r="BC29">
            <v>1.5936036068306032</v>
          </cell>
          <cell r="BJ29">
            <v>1.9172767376431625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34">
          <cell r="O34">
            <v>0</v>
          </cell>
          <cell r="P34">
            <v>1549.9299999999998</v>
          </cell>
          <cell r="Q34">
            <v>674.7773396678855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88">
          <cell r="O88">
            <v>104713.62000000001</v>
          </cell>
          <cell r="P88">
            <v>113013.39</v>
          </cell>
        </row>
      </sheetData>
      <sheetData sheetId="4">
        <row r="75">
          <cell r="AM75">
            <v>60944.34</v>
          </cell>
          <cell r="AN75">
            <v>49771.72</v>
          </cell>
        </row>
      </sheetData>
      <sheetData sheetId="6">
        <row r="29">
          <cell r="AG29">
            <v>360</v>
          </cell>
          <cell r="AN29">
            <v>0</v>
          </cell>
          <cell r="AS29">
            <v>126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35">
          <cell r="V35">
            <v>0.7400846127495423</v>
          </cell>
          <cell r="AB35">
            <v>0.33303807573729405</v>
          </cell>
          <cell r="AD35">
            <v>0.6290719208371109</v>
          </cell>
          <cell r="AH35">
            <v>0.05000317884163011</v>
          </cell>
          <cell r="AZ35">
            <v>1.2745262026028528</v>
          </cell>
          <cell r="BF35">
            <v>0.5735367911712838</v>
          </cell>
          <cell r="BH35">
            <v>1.0833472722124249</v>
          </cell>
          <cell r="BL35">
            <v>0.11000063576832603</v>
          </cell>
          <cell r="BW35">
            <v>1.3351967811563004</v>
          </cell>
          <cell r="CD35">
            <v>0.6008385515203353</v>
          </cell>
          <cell r="CF35">
            <v>1.1349172639828553</v>
          </cell>
          <cell r="CJ35">
            <v>0.09999999999999999</v>
          </cell>
        </row>
      </sheetData>
      <sheetData sheetId="1">
        <row r="35">
          <cell r="R35">
            <v>377.496</v>
          </cell>
        </row>
      </sheetData>
      <sheetData sheetId="2">
        <row r="88">
          <cell r="O88">
            <v>202994.22000000003</v>
          </cell>
          <cell r="P88">
            <v>213043</v>
          </cell>
        </row>
      </sheetData>
      <sheetData sheetId="4">
        <row r="75">
          <cell r="AM75">
            <v>118816.41</v>
          </cell>
          <cell r="AN75">
            <v>107795.59</v>
          </cell>
        </row>
      </sheetData>
      <sheetData sheetId="6">
        <row r="31">
          <cell r="AG31">
            <v>0</v>
          </cell>
          <cell r="AN31">
            <v>0</v>
          </cell>
          <cell r="AS31">
            <v>154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34">
          <cell r="O34">
            <v>0</v>
          </cell>
          <cell r="P34">
            <v>51.099999999999994</v>
          </cell>
          <cell r="Q34">
            <v>1311.6865798996664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55">
      <selection activeCell="A92" sqref="A92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9.140625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  <col min="9" max="9" width="18.140625" style="0" customWidth="1"/>
  </cols>
  <sheetData>
    <row r="1" spans="1:8" ht="15" customHeight="1">
      <c r="A1" s="122" t="s">
        <v>54</v>
      </c>
      <c r="B1" s="122"/>
      <c r="C1" s="122"/>
      <c r="D1" s="122"/>
      <c r="E1" s="122"/>
      <c r="F1" s="122"/>
      <c r="G1" s="122"/>
      <c r="H1" s="122"/>
    </row>
    <row r="2" spans="1:8" ht="15" customHeight="1">
      <c r="A2" s="122"/>
      <c r="B2" s="122"/>
      <c r="C2" s="122"/>
      <c r="D2" s="122"/>
      <c r="E2" s="122"/>
      <c r="F2" s="122"/>
      <c r="G2" s="122"/>
      <c r="H2" s="122"/>
    </row>
    <row r="3" spans="1:8" ht="15" customHeight="1">
      <c r="A3" s="122"/>
      <c r="B3" s="122"/>
      <c r="C3" s="122"/>
      <c r="D3" s="122"/>
      <c r="E3" s="122"/>
      <c r="F3" s="122"/>
      <c r="G3" s="122"/>
      <c r="H3" s="122"/>
    </row>
    <row r="4" spans="1:8" ht="13.5" thickBot="1">
      <c r="A4" s="20"/>
      <c r="B4" s="121"/>
      <c r="C4" s="121"/>
      <c r="E4" s="121"/>
      <c r="F4" s="121"/>
      <c r="G4" s="121"/>
      <c r="H4" s="121"/>
    </row>
    <row r="5" spans="1:9" s="22" customFormat="1" ht="40.5" customHeight="1" thickBot="1">
      <c r="A5" s="35" t="s">
        <v>27</v>
      </c>
      <c r="B5" s="50" t="s">
        <v>55</v>
      </c>
      <c r="C5" s="50" t="s">
        <v>56</v>
      </c>
      <c r="D5" s="50"/>
      <c r="E5" s="50" t="s">
        <v>57</v>
      </c>
      <c r="F5" s="50" t="s">
        <v>58</v>
      </c>
      <c r="G5" s="50" t="s">
        <v>49</v>
      </c>
      <c r="H5" s="50" t="s">
        <v>50</v>
      </c>
      <c r="I5" s="51" t="s">
        <v>70</v>
      </c>
    </row>
    <row r="6" spans="1:9" ht="12.75">
      <c r="A6" s="52" t="s">
        <v>44</v>
      </c>
      <c r="B6" s="53">
        <f>'[4]Начисление'!$O$88+12405.78</f>
        <v>117119.40000000001</v>
      </c>
      <c r="C6" s="53">
        <f>'[4]Начисление'!$P$88+12405.78</f>
        <v>125419.17</v>
      </c>
      <c r="D6" s="53">
        <f>'[4]Начисление'!$O$88</f>
        <v>104713.62000000001</v>
      </c>
      <c r="E6" s="53">
        <f>G6-B6</f>
        <v>98280.60000000002</v>
      </c>
      <c r="F6" s="53">
        <f>H6-C6</f>
        <v>100029.61</v>
      </c>
      <c r="G6" s="53">
        <f>'[5]Начисление'!$O$88+12405.78</f>
        <v>215400.00000000003</v>
      </c>
      <c r="H6" s="53">
        <f>'[5]Начисление'!$P$88+12405.78</f>
        <v>225448.78</v>
      </c>
      <c r="I6" s="53">
        <f>'[5]Начисление'!$Q$88</f>
        <v>0</v>
      </c>
    </row>
    <row r="7" spans="1:9" ht="13.5" thickBot="1">
      <c r="A7" s="14" t="s">
        <v>45</v>
      </c>
      <c r="B7" s="54">
        <f>'[4]Начис электроэн'!$AM$75+4345.28</f>
        <v>65289.619999999995</v>
      </c>
      <c r="C7" s="54">
        <f>'[4]Начис электроэн'!$AN$75+4345.28</f>
        <v>54117</v>
      </c>
      <c r="D7" s="54">
        <f>'[4]Начис электроэн'!$AM$75</f>
        <v>60944.34</v>
      </c>
      <c r="E7" s="53">
        <f>G7-B7</f>
        <v>62217.350000000006</v>
      </c>
      <c r="F7" s="53">
        <f>H7-C7</f>
        <v>62369.149999999994</v>
      </c>
      <c r="G7" s="54">
        <f>'[5]Начис электроэн'!$AM$75+8690.56</f>
        <v>127506.97</v>
      </c>
      <c r="H7" s="54">
        <f>'[5]Начис электроэн'!$AN$75+8690.56</f>
        <v>116486.15</v>
      </c>
      <c r="I7" s="54">
        <f>'[5]Начис электроэн'!$AO$75</f>
        <v>0</v>
      </c>
    </row>
    <row r="8" spans="1:9" ht="13.5" thickBot="1">
      <c r="A8" s="55" t="s">
        <v>46</v>
      </c>
      <c r="B8" s="56">
        <f aca="true" t="shared" si="0" ref="B8:I8">SUM(B6:B7)</f>
        <v>182409.02000000002</v>
      </c>
      <c r="C8" s="56">
        <f t="shared" si="0"/>
        <v>179536.16999999998</v>
      </c>
      <c r="D8" s="56">
        <f t="shared" si="0"/>
        <v>165657.96000000002</v>
      </c>
      <c r="E8" s="56">
        <f t="shared" si="0"/>
        <v>160497.95</v>
      </c>
      <c r="F8" s="56">
        <f t="shared" si="0"/>
        <v>162398.76</v>
      </c>
      <c r="G8" s="56">
        <f t="shared" si="0"/>
        <v>342906.97000000003</v>
      </c>
      <c r="H8" s="56">
        <f t="shared" si="0"/>
        <v>341934.93</v>
      </c>
      <c r="I8" s="57">
        <f t="shared" si="0"/>
        <v>0</v>
      </c>
    </row>
    <row r="9" spans="1:8" ht="18.75" customHeight="1">
      <c r="A9" t="s">
        <v>47</v>
      </c>
      <c r="B9" s="58"/>
      <c r="C9" s="58"/>
      <c r="E9" s="58"/>
      <c r="F9" s="58"/>
      <c r="G9" s="58"/>
      <c r="H9" s="58"/>
    </row>
    <row r="10" spans="5:8" ht="12.75">
      <c r="E10" s="119"/>
      <c r="F10" s="119"/>
      <c r="G10" s="119"/>
      <c r="H10" s="119"/>
    </row>
    <row r="11" spans="1:8" ht="12.75">
      <c r="A11" s="59" t="s">
        <v>35</v>
      </c>
      <c r="B11" s="7">
        <f>'[1]Подрядч'!$C$29</f>
        <v>1572.9</v>
      </c>
      <c r="C11" s="7" t="s">
        <v>34</v>
      </c>
      <c r="E11" s="120">
        <f>'[1]Подрядч'!$C$29</f>
        <v>1572.9</v>
      </c>
      <c r="F11" s="120" t="s">
        <v>34</v>
      </c>
      <c r="G11" s="7">
        <f>'[1]Подрядч'!$C$29</f>
        <v>1572.9</v>
      </c>
      <c r="H11" s="7" t="s">
        <v>34</v>
      </c>
    </row>
    <row r="12" spans="1:8" ht="13.5" thickBot="1">
      <c r="A12" s="60"/>
      <c r="B12" s="61"/>
      <c r="C12" s="62">
        <v>6</v>
      </c>
      <c r="E12" s="61"/>
      <c r="F12" s="62">
        <v>6</v>
      </c>
      <c r="G12" s="61"/>
      <c r="H12" s="62">
        <v>12</v>
      </c>
    </row>
    <row r="13" spans="1:8" s="22" customFormat="1" ht="26.25" thickBot="1">
      <c r="A13" s="18" t="s">
        <v>27</v>
      </c>
      <c r="B13" s="21" t="s">
        <v>36</v>
      </c>
      <c r="C13" s="63" t="s">
        <v>51</v>
      </c>
      <c r="D13" s="28"/>
      <c r="E13" s="21" t="s">
        <v>36</v>
      </c>
      <c r="F13" s="63" t="s">
        <v>51</v>
      </c>
      <c r="G13" s="21" t="s">
        <v>36</v>
      </c>
      <c r="H13" s="63" t="s">
        <v>51</v>
      </c>
    </row>
    <row r="14" spans="1:8" ht="12.75">
      <c r="A14" s="17" t="s">
        <v>14</v>
      </c>
      <c r="B14" s="45">
        <v>1.64</v>
      </c>
      <c r="C14" s="46">
        <f>B14*B11*C12</f>
        <v>15477.336</v>
      </c>
      <c r="D14" s="29"/>
      <c r="E14" s="45"/>
      <c r="F14" s="46"/>
      <c r="G14" s="45">
        <f>H14/H12/G11</f>
        <v>0.82</v>
      </c>
      <c r="H14" s="46">
        <f>F14+C14</f>
        <v>15477.336</v>
      </c>
    </row>
    <row r="15" spans="1:8" ht="12.75">
      <c r="A15" s="10" t="s">
        <v>12</v>
      </c>
      <c r="B15" s="8">
        <f>C15/B11/C12</f>
        <v>1.783686120647636</v>
      </c>
      <c r="C15" s="39">
        <f>SUM(C16:C23)</f>
        <v>16833.359395</v>
      </c>
      <c r="D15" s="29"/>
      <c r="E15" s="8">
        <f>F15/E11/F12</f>
        <v>1.678202492211838</v>
      </c>
      <c r="F15" s="39">
        <f>SUM(F16:F23)</f>
        <v>15837.8682</v>
      </c>
      <c r="G15" s="8">
        <f>H15/G11/H12</f>
        <v>1.7309443064297367</v>
      </c>
      <c r="H15" s="39">
        <f>SUM(H16:H23)</f>
        <v>32671.227594999997</v>
      </c>
    </row>
    <row r="16" spans="1:8" ht="12.75">
      <c r="A16" s="11" t="s">
        <v>15</v>
      </c>
      <c r="B16" s="47">
        <f>C16/$C$12/$B$11</f>
        <v>0.5183888862398541</v>
      </c>
      <c r="C16" s="76">
        <f>(C6*3.25%)+(B7*1.25%)</f>
        <v>4892.243275</v>
      </c>
      <c r="D16" s="29"/>
      <c r="E16" s="47">
        <f>F16/$C$12/$B$11</f>
        <v>0.42688443851060676</v>
      </c>
      <c r="F16" s="76">
        <f>(F6*3.25%)+(E7*1.25%)</f>
        <v>4028.6792</v>
      </c>
      <c r="G16" s="47">
        <f>H16/$H$12/$G$11</f>
        <v>0.47263666237523044</v>
      </c>
      <c r="H16" s="76">
        <f>(H6*3.25%)+(G7*1.25%)</f>
        <v>8920.922475</v>
      </c>
    </row>
    <row r="17" spans="1:8" ht="12.75">
      <c r="A17" s="12" t="s">
        <v>19</v>
      </c>
      <c r="B17" s="47">
        <f aca="true" t="shared" si="1" ref="B17:B23">C17/$C$12/$B$11</f>
        <v>0.038146099561319854</v>
      </c>
      <c r="C17" s="41">
        <f>'[4]Подрядч факт'!$AG$29</f>
        <v>360</v>
      </c>
      <c r="D17" s="29"/>
      <c r="E17" s="47">
        <f aca="true" t="shared" si="2" ref="E17:E23">F17/$C$12/$B$11</f>
        <v>0</v>
      </c>
      <c r="F17" s="41">
        <f>'[5]Подрядч факт'!$AG$31</f>
        <v>0</v>
      </c>
      <c r="G17" s="47">
        <f aca="true" t="shared" si="3" ref="G17:G23">H17/$H$12/$G$11</f>
        <v>0.019073049780659927</v>
      </c>
      <c r="H17" s="41">
        <f>F17+C17</f>
        <v>360</v>
      </c>
    </row>
    <row r="18" spans="1:8" ht="12.75" hidden="1">
      <c r="A18" s="12" t="s">
        <v>20</v>
      </c>
      <c r="B18" s="47">
        <f t="shared" si="1"/>
        <v>0</v>
      </c>
      <c r="C18" s="41">
        <f>'[4]Подрядч факт'!$AH$29</f>
        <v>0</v>
      </c>
      <c r="D18" s="29"/>
      <c r="E18" s="47">
        <f t="shared" si="2"/>
        <v>0</v>
      </c>
      <c r="F18" s="41">
        <f>'[5]Подрядч факт'!$AH$31</f>
        <v>0</v>
      </c>
      <c r="G18" s="47">
        <f t="shared" si="3"/>
        <v>0</v>
      </c>
      <c r="H18" s="41">
        <f aca="true" t="shared" si="4" ref="H18:H23">F18+C18</f>
        <v>0</v>
      </c>
    </row>
    <row r="19" spans="1:8" ht="12.75" hidden="1">
      <c r="A19" s="12" t="s">
        <v>48</v>
      </c>
      <c r="B19" s="47">
        <f t="shared" si="1"/>
        <v>0</v>
      </c>
      <c r="C19" s="48">
        <f>'[4]Подрядч факт'!$AN$29</f>
        <v>0</v>
      </c>
      <c r="D19" s="29"/>
      <c r="E19" s="47">
        <f t="shared" si="2"/>
        <v>0</v>
      </c>
      <c r="F19" s="48">
        <f>'[5]Подрядч факт'!$AN$31</f>
        <v>0</v>
      </c>
      <c r="G19" s="47">
        <f t="shared" si="3"/>
        <v>0</v>
      </c>
      <c r="H19" s="41">
        <f t="shared" si="4"/>
        <v>0</v>
      </c>
    </row>
    <row r="20" spans="1:8" ht="13.5" customHeight="1">
      <c r="A20" s="12" t="s">
        <v>41</v>
      </c>
      <c r="B20" s="47">
        <f t="shared" si="1"/>
        <v>0.013351134846461948</v>
      </c>
      <c r="C20" s="41">
        <f>'[4]Подрядч факт'!$AS$29</f>
        <v>126</v>
      </c>
      <c r="D20" s="29"/>
      <c r="E20" s="47">
        <f t="shared" si="2"/>
        <v>0.01631805370123127</v>
      </c>
      <c r="F20" s="41">
        <f>'[5]Подрядч факт'!$AS$31</f>
        <v>154</v>
      </c>
      <c r="G20" s="47">
        <f t="shared" si="3"/>
        <v>0.014834594273846608</v>
      </c>
      <c r="H20" s="41">
        <f t="shared" si="4"/>
        <v>280</v>
      </c>
    </row>
    <row r="21" spans="1:8" ht="25.5">
      <c r="A21" s="12" t="s">
        <v>16</v>
      </c>
      <c r="B21" s="47">
        <f t="shared" si="1"/>
        <v>0.6349999999999999</v>
      </c>
      <c r="C21" s="41">
        <f>'[1]Подрядч'!$L$29*C12</f>
        <v>5992.749</v>
      </c>
      <c r="D21" s="29"/>
      <c r="E21" s="47">
        <f t="shared" si="2"/>
        <v>0.6349999999999999</v>
      </c>
      <c r="F21" s="41">
        <f>'[1]Подрядч'!$L$29*F12</f>
        <v>5992.749</v>
      </c>
      <c r="G21" s="47">
        <f t="shared" si="3"/>
        <v>0.6349999999999999</v>
      </c>
      <c r="H21" s="41">
        <f t="shared" si="4"/>
        <v>11985.498</v>
      </c>
    </row>
    <row r="22" spans="1:8" ht="25.5">
      <c r="A22" s="12" t="s">
        <v>17</v>
      </c>
      <c r="B22" s="47">
        <f t="shared" si="1"/>
        <v>0.36</v>
      </c>
      <c r="C22" s="41">
        <f>'[1]Подрядч'!$M$29*C12</f>
        <v>3397.464</v>
      </c>
      <c r="D22" s="29"/>
      <c r="E22" s="47">
        <f t="shared" si="2"/>
        <v>0.36</v>
      </c>
      <c r="F22" s="41">
        <f>'[1]Подрядч'!$M$29*F12</f>
        <v>3397.464</v>
      </c>
      <c r="G22" s="47">
        <f t="shared" si="3"/>
        <v>0.36</v>
      </c>
      <c r="H22" s="41">
        <f t="shared" si="4"/>
        <v>6794.928</v>
      </c>
    </row>
    <row r="23" spans="1:8" ht="26.25" thickBot="1">
      <c r="A23" s="33" t="s">
        <v>18</v>
      </c>
      <c r="B23" s="49">
        <f t="shared" si="1"/>
        <v>0.21879999999999997</v>
      </c>
      <c r="C23" s="44">
        <f>'[1]Подрядч'!$P$29*C12</f>
        <v>2064.90312</v>
      </c>
      <c r="D23" s="31"/>
      <c r="E23" s="49">
        <f t="shared" si="2"/>
        <v>0.23999999999999994</v>
      </c>
      <c r="F23" s="44">
        <f>'[5]Подрядч'!$R$35*F12</f>
        <v>2264.9759999999997</v>
      </c>
      <c r="G23" s="47">
        <f t="shared" si="3"/>
        <v>0.22939999999999997</v>
      </c>
      <c r="H23" s="41">
        <f t="shared" si="4"/>
        <v>4329.87912</v>
      </c>
    </row>
    <row r="24" spans="1:8" ht="38.25" customHeight="1" thickBot="1">
      <c r="A24" s="35" t="s">
        <v>69</v>
      </c>
      <c r="B24" s="15">
        <f>C24/C12/B11</f>
        <v>8.051531527584423</v>
      </c>
      <c r="C24" s="40">
        <f>C25+C30+C60</f>
        <v>75985.52363842523</v>
      </c>
      <c r="D24" s="32">
        <f>D25+D30+D60</f>
        <v>38781.160438425235</v>
      </c>
      <c r="E24" s="82">
        <f>F24/F12/E11</f>
        <v>8.778925562986371</v>
      </c>
      <c r="F24" s="83">
        <f>F25+F30+F60</f>
        <v>82850.23210812759</v>
      </c>
      <c r="G24" s="82">
        <f>H24/H12/G11</f>
        <v>8.415228545285396</v>
      </c>
      <c r="H24" s="83">
        <f>H25+H30+H60</f>
        <v>158835.7557465528</v>
      </c>
    </row>
    <row r="25" spans="1:8" ht="13.5" thickBot="1">
      <c r="A25" s="34" t="s">
        <v>2</v>
      </c>
      <c r="B25" s="45">
        <f>C25/B11/C12</f>
        <v>1.4700000000000004</v>
      </c>
      <c r="C25" s="65">
        <f>SUM(C26:C29)</f>
        <v>13872.978000000003</v>
      </c>
      <c r="D25" s="97">
        <f>SUM(D26:D29)</f>
        <v>0</v>
      </c>
      <c r="E25" s="88">
        <f>F25/E11/F12</f>
        <v>1.9002147107154859</v>
      </c>
      <c r="F25" s="89">
        <f>SUM(F26:F29)</f>
        <v>17933.08631090633</v>
      </c>
      <c r="G25" s="89">
        <f>H25/G11/H12</f>
        <v>1.685107355357743</v>
      </c>
      <c r="H25" s="90">
        <f>SUM(H26:H29)</f>
        <v>31806.064310906328</v>
      </c>
    </row>
    <row r="26" spans="1:8" ht="12.75" hidden="1">
      <c r="A26" s="98" t="s">
        <v>3</v>
      </c>
      <c r="B26" s="99">
        <f>'[1]МУП'!$R$29</f>
        <v>0.6000000000000001</v>
      </c>
      <c r="C26" s="100">
        <f>B26*$B$11*$C$12</f>
        <v>5662.440000000001</v>
      </c>
      <c r="D26" s="101"/>
      <c r="E26" s="102">
        <f>'[5]МУП'!$V$35</f>
        <v>0.7400846127495423</v>
      </c>
      <c r="F26" s="103">
        <f>E26*$B$11*$C$12</f>
        <v>6984.474524362531</v>
      </c>
      <c r="G26" s="103">
        <f>H26/$H$12/$G$11</f>
        <v>0.6700423063747711</v>
      </c>
      <c r="H26" s="104">
        <f>F26+C26</f>
        <v>12646.914524362532</v>
      </c>
    </row>
    <row r="27" spans="1:8" s="7" customFormat="1" ht="12.75" hidden="1">
      <c r="A27" s="98" t="s">
        <v>30</v>
      </c>
      <c r="B27" s="99">
        <f>B26*20%</f>
        <v>0.12000000000000002</v>
      </c>
      <c r="C27" s="100">
        <f>B27*$B$11*$C$12</f>
        <v>1132.4880000000003</v>
      </c>
      <c r="D27" s="80"/>
      <c r="E27" s="102">
        <f>E26*20%</f>
        <v>0.14801692254990848</v>
      </c>
      <c r="F27" s="103">
        <f>E27*$B$11*$C$12</f>
        <v>1396.8949048725062</v>
      </c>
      <c r="G27" s="103">
        <f>H27/$H$12/$G$11</f>
        <v>0.13400846127495425</v>
      </c>
      <c r="H27" s="104">
        <f>F27+C27</f>
        <v>2529.3829048725065</v>
      </c>
    </row>
    <row r="28" spans="1:8" s="7" customFormat="1" ht="12.75" hidden="1">
      <c r="A28" s="98" t="s">
        <v>11</v>
      </c>
      <c r="B28" s="99">
        <f>C28/C12/B11</f>
        <v>0</v>
      </c>
      <c r="C28" s="100">
        <f>'[3]мат-лы год'!$O$34</f>
        <v>0</v>
      </c>
      <c r="D28" s="80"/>
      <c r="E28" s="102">
        <f>F28/F12/E11</f>
        <v>0</v>
      </c>
      <c r="F28" s="103">
        <f>'[6]мат-лы год'!$O$34</f>
        <v>0</v>
      </c>
      <c r="G28" s="103">
        <f>H28/$H$12/$G$11</f>
        <v>0</v>
      </c>
      <c r="H28" s="104">
        <f>F28+C28</f>
        <v>0</v>
      </c>
    </row>
    <row r="29" spans="1:8" ht="13.5" hidden="1" thickBot="1">
      <c r="A29" s="98" t="s">
        <v>31</v>
      </c>
      <c r="B29" s="99">
        <f>'[1]МУП'!$X$29+0.04</f>
        <v>0.75</v>
      </c>
      <c r="C29" s="100">
        <f>B29*$B$11*$C$12</f>
        <v>7078.050000000001</v>
      </c>
      <c r="D29" s="105"/>
      <c r="E29" s="102">
        <f>'[5]МУП'!$AB$35+'[5]МУП'!$AD$35+'[5]МУП'!$AH$35</f>
        <v>1.012113175416035</v>
      </c>
      <c r="F29" s="103">
        <f>E29*$B$11*$C$12</f>
        <v>9551.716881671291</v>
      </c>
      <c r="G29" s="103">
        <f>H29/$H$12/$G$11</f>
        <v>0.8810565877080175</v>
      </c>
      <c r="H29" s="104">
        <f>F29+C29</f>
        <v>16629.76688167129</v>
      </c>
    </row>
    <row r="30" spans="1:8" ht="13.5" thickBot="1">
      <c r="A30" s="13" t="s">
        <v>4</v>
      </c>
      <c r="B30" s="8">
        <f>C30/B11/C12</f>
        <v>2.5904301184648313</v>
      </c>
      <c r="C30" s="39">
        <f>SUM(C31:C34)</f>
        <v>24446.9252</v>
      </c>
      <c r="D30" s="106">
        <f>SUM(D31:D59)</f>
        <v>1115.54</v>
      </c>
      <c r="E30" s="91">
        <f>F30/E11/F12</f>
        <v>3.301730769185412</v>
      </c>
      <c r="F30" s="78">
        <f>SUM(F31:F34)</f>
        <v>31159.75396111041</v>
      </c>
      <c r="G30" s="78">
        <f>H30/G11/H12</f>
        <v>2.9460804438251222</v>
      </c>
      <c r="H30" s="79">
        <f>SUM(H31:H34)</f>
        <v>55606.67916111041</v>
      </c>
    </row>
    <row r="31" spans="1:8" ht="12.75" hidden="1">
      <c r="A31" s="98" t="s">
        <v>3</v>
      </c>
      <c r="B31" s="99">
        <f>'[1]МУП'!$AH$29</f>
        <v>1.04</v>
      </c>
      <c r="C31" s="100">
        <f>B31*$B$11*$C$12</f>
        <v>9814.896</v>
      </c>
      <c r="D31" s="101"/>
      <c r="E31" s="102">
        <f>'[5]МУП'!$AZ$35</f>
        <v>1.2745262026028528</v>
      </c>
      <c r="F31" s="103">
        <f>E31*$B$11*$C$12</f>
        <v>12028.213584444164</v>
      </c>
      <c r="G31" s="103">
        <f>H31/$H$12/$G$11</f>
        <v>1.1572631013014265</v>
      </c>
      <c r="H31" s="104">
        <f>F31+C31</f>
        <v>21843.109584444166</v>
      </c>
    </row>
    <row r="32" spans="1:8" s="7" customFormat="1" ht="12.75" hidden="1">
      <c r="A32" s="98" t="s">
        <v>30</v>
      </c>
      <c r="B32" s="99">
        <f>B31*20%</f>
        <v>0.20800000000000002</v>
      </c>
      <c r="C32" s="100">
        <f>B32*$B$11*$C$12</f>
        <v>1962.9792000000004</v>
      </c>
      <c r="D32" s="80"/>
      <c r="E32" s="102">
        <f>E31*20%</f>
        <v>0.25490524052057056</v>
      </c>
      <c r="F32" s="103">
        <f>E32*$B$11*$C$12</f>
        <v>2405.6427168888326</v>
      </c>
      <c r="G32" s="103">
        <f>H32/$H$12/$G$11</f>
        <v>0.2314526202602853</v>
      </c>
      <c r="H32" s="104">
        <f>F32+C32</f>
        <v>4368.621916888833</v>
      </c>
    </row>
    <row r="33" spans="1:8" s="7" customFormat="1" ht="12.75" hidden="1">
      <c r="A33" s="98" t="s">
        <v>11</v>
      </c>
      <c r="B33" s="107">
        <f>C33/C12/B11</f>
        <v>0.04243011846483139</v>
      </c>
      <c r="C33" s="100">
        <f>'[3]мат-лы год'!$P$34-1149.5</f>
        <v>400.42999999999984</v>
      </c>
      <c r="D33" s="80"/>
      <c r="E33" s="108">
        <f>F33/F12/E11</f>
        <v>0.005414626909954012</v>
      </c>
      <c r="F33" s="103">
        <f>'[6]мат-лы год'!$P$34</f>
        <v>51.099999999999994</v>
      </c>
      <c r="G33" s="103">
        <f>H33/$H$12/$G$11</f>
        <v>0.023922372687392706</v>
      </c>
      <c r="H33" s="104">
        <f>F33+C33</f>
        <v>451.52999999999986</v>
      </c>
    </row>
    <row r="34" spans="1:8" ht="12.75" hidden="1">
      <c r="A34" s="98" t="s">
        <v>31</v>
      </c>
      <c r="B34" s="99">
        <f>'[1]МУП'!$AN$29+0.06</f>
        <v>1.3</v>
      </c>
      <c r="C34" s="100">
        <f>B34*$B$11*$C$12</f>
        <v>12268.62</v>
      </c>
      <c r="D34" s="105"/>
      <c r="E34" s="102">
        <f>'[5]МУП'!$BF$35+'[5]МУП'!$BH$35+'[5]МУП'!$BL$35</f>
        <v>1.7668846991520348</v>
      </c>
      <c r="F34" s="103">
        <f>E34*$B$11*$C$12</f>
        <v>16674.797659777414</v>
      </c>
      <c r="G34" s="103">
        <f>H34/$H$12/$G$11</f>
        <v>1.5334423495760172</v>
      </c>
      <c r="H34" s="104">
        <f>F34+C34</f>
        <v>28943.417659777413</v>
      </c>
    </row>
    <row r="35" spans="1:8" ht="12.75">
      <c r="A35" s="123" t="s">
        <v>21</v>
      </c>
      <c r="B35" s="124"/>
      <c r="C35" s="125"/>
      <c r="D35" s="105"/>
      <c r="E35" s="109"/>
      <c r="F35" s="110"/>
      <c r="G35" s="110"/>
      <c r="H35" s="111"/>
    </row>
    <row r="36" spans="1:8" ht="12.75">
      <c r="A36" s="23" t="s">
        <v>60</v>
      </c>
      <c r="B36" s="24"/>
      <c r="C36" s="42"/>
      <c r="D36" s="105"/>
      <c r="E36" s="23"/>
      <c r="F36" s="86"/>
      <c r="G36" s="86"/>
      <c r="H36" s="92"/>
    </row>
    <row r="37" spans="1:8" ht="12.75">
      <c r="A37" s="23" t="s">
        <v>61</v>
      </c>
      <c r="B37" s="24"/>
      <c r="C37" s="42"/>
      <c r="D37" s="105">
        <v>1115.54</v>
      </c>
      <c r="E37" s="23"/>
      <c r="F37" s="86"/>
      <c r="G37" s="86"/>
      <c r="H37" s="92"/>
    </row>
    <row r="38" spans="1:8" ht="12.75">
      <c r="A38" s="23" t="s">
        <v>65</v>
      </c>
      <c r="B38" s="24"/>
      <c r="C38" s="42"/>
      <c r="D38" s="105"/>
      <c r="E38" s="23"/>
      <c r="F38" s="86"/>
      <c r="G38" s="86"/>
      <c r="H38" s="92"/>
    </row>
    <row r="39" spans="1:8" ht="12.75">
      <c r="A39" s="23" t="s">
        <v>66</v>
      </c>
      <c r="B39" s="24"/>
      <c r="C39" s="42"/>
      <c r="D39" s="105"/>
      <c r="E39" s="23"/>
      <c r="F39" s="86"/>
      <c r="G39" s="86"/>
      <c r="H39" s="92"/>
    </row>
    <row r="40" spans="1:8" ht="12.75" hidden="1">
      <c r="A40" s="23"/>
      <c r="B40" s="24"/>
      <c r="C40" s="42"/>
      <c r="D40" s="105"/>
      <c r="E40" s="23"/>
      <c r="F40" s="86"/>
      <c r="G40" s="86"/>
      <c r="H40" s="92"/>
    </row>
    <row r="41" spans="1:8" ht="12.75" hidden="1">
      <c r="A41" s="23"/>
      <c r="B41" s="24"/>
      <c r="C41" s="42"/>
      <c r="D41" s="105"/>
      <c r="E41" s="23"/>
      <c r="F41" s="86"/>
      <c r="G41" s="86"/>
      <c r="H41" s="92"/>
    </row>
    <row r="42" spans="1:8" ht="12.75" hidden="1">
      <c r="A42" s="23"/>
      <c r="B42" s="24"/>
      <c r="C42" s="42"/>
      <c r="D42" s="105"/>
      <c r="E42" s="23"/>
      <c r="F42" s="86"/>
      <c r="G42" s="86"/>
      <c r="H42" s="92"/>
    </row>
    <row r="43" spans="1:8" ht="12.75">
      <c r="A43" s="123" t="s">
        <v>22</v>
      </c>
      <c r="B43" s="124"/>
      <c r="C43" s="125"/>
      <c r="D43" s="105"/>
      <c r="E43" s="109"/>
      <c r="F43" s="110"/>
      <c r="G43" s="110"/>
      <c r="H43" s="111"/>
    </row>
    <row r="44" spans="1:8" ht="12.75">
      <c r="A44" s="126" t="s">
        <v>67</v>
      </c>
      <c r="B44" s="127"/>
      <c r="C44" s="128"/>
      <c r="D44" s="105"/>
      <c r="E44" s="109"/>
      <c r="F44" s="110"/>
      <c r="G44" s="110"/>
      <c r="H44" s="111"/>
    </row>
    <row r="45" spans="1:8" ht="12.75" hidden="1">
      <c r="A45" s="23"/>
      <c r="B45" s="24"/>
      <c r="C45" s="42"/>
      <c r="D45" s="105"/>
      <c r="E45" s="23"/>
      <c r="F45" s="86"/>
      <c r="G45" s="86"/>
      <c r="H45" s="92"/>
    </row>
    <row r="46" spans="1:8" ht="12.75" hidden="1">
      <c r="A46" s="23"/>
      <c r="B46" s="24"/>
      <c r="C46" s="42"/>
      <c r="D46" s="105"/>
      <c r="E46" s="23"/>
      <c r="F46" s="86"/>
      <c r="G46" s="86"/>
      <c r="H46" s="92"/>
    </row>
    <row r="47" spans="1:8" ht="12.75">
      <c r="A47" s="123" t="s">
        <v>29</v>
      </c>
      <c r="B47" s="124"/>
      <c r="C47" s="125"/>
      <c r="D47" s="105"/>
      <c r="E47" s="109"/>
      <c r="F47" s="110"/>
      <c r="G47" s="110"/>
      <c r="H47" s="111"/>
    </row>
    <row r="48" spans="1:8" ht="12.75">
      <c r="A48" s="126" t="s">
        <v>59</v>
      </c>
      <c r="B48" s="127"/>
      <c r="C48" s="128"/>
      <c r="D48" s="105"/>
      <c r="E48" s="109"/>
      <c r="F48" s="110"/>
      <c r="G48" s="110"/>
      <c r="H48" s="111"/>
    </row>
    <row r="49" spans="1:8" ht="12.75">
      <c r="A49" s="126" t="s">
        <v>64</v>
      </c>
      <c r="B49" s="127"/>
      <c r="C49" s="128"/>
      <c r="D49" s="105"/>
      <c r="E49" s="109"/>
      <c r="F49" s="110"/>
      <c r="G49" s="110"/>
      <c r="H49" s="111"/>
    </row>
    <row r="50" spans="1:8" ht="12.75" hidden="1">
      <c r="A50" s="126"/>
      <c r="B50" s="127"/>
      <c r="C50" s="128"/>
      <c r="D50" s="105"/>
      <c r="E50" s="109"/>
      <c r="F50" s="110"/>
      <c r="G50" s="110"/>
      <c r="H50" s="111"/>
    </row>
    <row r="51" spans="1:8" ht="12.75" hidden="1">
      <c r="A51" s="126"/>
      <c r="B51" s="127"/>
      <c r="C51" s="128"/>
      <c r="D51" s="105"/>
      <c r="E51" s="109"/>
      <c r="F51" s="110"/>
      <c r="G51" s="110"/>
      <c r="H51" s="111"/>
    </row>
    <row r="52" spans="1:8" ht="12.75" hidden="1">
      <c r="A52" s="25"/>
      <c r="B52" s="26"/>
      <c r="C52" s="42"/>
      <c r="D52" s="105"/>
      <c r="E52" s="23"/>
      <c r="F52" s="86"/>
      <c r="G52" s="86"/>
      <c r="H52" s="92"/>
    </row>
    <row r="53" spans="1:8" ht="12.75" hidden="1">
      <c r="A53" s="25"/>
      <c r="B53" s="26"/>
      <c r="C53" s="42"/>
      <c r="D53" s="105"/>
      <c r="E53" s="23"/>
      <c r="F53" s="86"/>
      <c r="G53" s="86"/>
      <c r="H53" s="92"/>
    </row>
    <row r="54" spans="1:8" ht="12.75" hidden="1">
      <c r="A54" s="25"/>
      <c r="B54" s="26"/>
      <c r="C54" s="42"/>
      <c r="D54" s="105"/>
      <c r="E54" s="23"/>
      <c r="F54" s="86"/>
      <c r="G54" s="86"/>
      <c r="H54" s="92"/>
    </row>
    <row r="55" spans="1:8" ht="12.75">
      <c r="A55" s="132" t="s">
        <v>23</v>
      </c>
      <c r="B55" s="133"/>
      <c r="C55" s="125"/>
      <c r="D55" s="105"/>
      <c r="E55" s="109"/>
      <c r="F55" s="110"/>
      <c r="G55" s="110"/>
      <c r="H55" s="111"/>
    </row>
    <row r="56" spans="1:8" ht="12.75">
      <c r="A56" s="129" t="s">
        <v>63</v>
      </c>
      <c r="B56" s="130"/>
      <c r="C56" s="131"/>
      <c r="D56" s="105"/>
      <c r="E56" s="109"/>
      <c r="F56" s="110"/>
      <c r="G56" s="110"/>
      <c r="H56" s="111"/>
    </row>
    <row r="57" spans="1:8" ht="13.5" thickBot="1">
      <c r="A57" s="64" t="s">
        <v>62</v>
      </c>
      <c r="B57" s="112"/>
      <c r="C57" s="113"/>
      <c r="D57" s="105"/>
      <c r="E57" s="23"/>
      <c r="F57" s="86"/>
      <c r="G57" s="86"/>
      <c r="H57" s="92"/>
    </row>
    <row r="58" spans="1:8" ht="13.5" hidden="1" thickBot="1">
      <c r="A58" s="64"/>
      <c r="B58" s="112"/>
      <c r="C58" s="113"/>
      <c r="D58" s="105"/>
      <c r="E58" s="23"/>
      <c r="F58" s="86"/>
      <c r="G58" s="86"/>
      <c r="H58" s="92"/>
    </row>
    <row r="59" spans="1:8" ht="13.5" hidden="1" thickBot="1">
      <c r="A59" s="64"/>
      <c r="B59" s="112"/>
      <c r="C59" s="113"/>
      <c r="D59" s="114"/>
      <c r="E59" s="23"/>
      <c r="F59" s="86"/>
      <c r="G59" s="86"/>
      <c r="H59" s="92"/>
    </row>
    <row r="60" spans="1:8" ht="13.5" thickBot="1">
      <c r="A60" s="13" t="s">
        <v>5</v>
      </c>
      <c r="B60" s="8">
        <f>C60/B11/C12</f>
        <v>3.9911014091195915</v>
      </c>
      <c r="C60" s="39">
        <f>SUM(C61:C64)</f>
        <v>37665.620438425234</v>
      </c>
      <c r="D60" s="115">
        <f>C60</f>
        <v>37665.620438425234</v>
      </c>
      <c r="E60" s="91">
        <f>F60/E11/F12</f>
        <v>3.576980083085473</v>
      </c>
      <c r="F60" s="78">
        <f>SUM(F61:F64)</f>
        <v>33757.391836110844</v>
      </c>
      <c r="G60" s="78">
        <f>H60/G11/H12</f>
        <v>3.784040746102532</v>
      </c>
      <c r="H60" s="79">
        <f>SUM(H61:H64)</f>
        <v>71423.01227453607</v>
      </c>
    </row>
    <row r="61" spans="1:8" ht="12.75" hidden="1">
      <c r="A61" s="98" t="s">
        <v>32</v>
      </c>
      <c r="B61" s="99">
        <f>'[2]МУП'!$BC$29</f>
        <v>1.5936036068306032</v>
      </c>
      <c r="C61" s="100">
        <f>B61*$B$11*$C$12</f>
        <v>15039.474679103136</v>
      </c>
      <c r="D61" s="101"/>
      <c r="E61" s="102">
        <f>'[5]МУП'!$BW$35</f>
        <v>1.3351967811563004</v>
      </c>
      <c r="F61" s="103">
        <f>E61*$B$11*$C$12</f>
        <v>12600.786102484471</v>
      </c>
      <c r="G61" s="103">
        <f>H61/$H$12/$G$11</f>
        <v>1.464400193993452</v>
      </c>
      <c r="H61" s="104">
        <f>F61+C61</f>
        <v>27640.260781587607</v>
      </c>
    </row>
    <row r="62" spans="1:8" ht="12.75" hidden="1">
      <c r="A62" s="98" t="s">
        <v>30</v>
      </c>
      <c r="B62" s="99">
        <f>B61*20%</f>
        <v>0.3187207213661207</v>
      </c>
      <c r="C62" s="100">
        <f>B62*$B$11*$C$12</f>
        <v>3007.8949358206273</v>
      </c>
      <c r="D62" s="105"/>
      <c r="E62" s="102">
        <f>E61*20%</f>
        <v>0.26703935623126007</v>
      </c>
      <c r="F62" s="103">
        <f>E62*$B$11*$C$12</f>
        <v>2520.157220496894</v>
      </c>
      <c r="G62" s="103">
        <f>H62/$H$12/$G$11</f>
        <v>0.29288003879869035</v>
      </c>
      <c r="H62" s="104">
        <f>F62+C62</f>
        <v>5528.052156317521</v>
      </c>
    </row>
    <row r="63" spans="1:8" ht="12.75" hidden="1">
      <c r="A63" s="98" t="s">
        <v>11</v>
      </c>
      <c r="B63" s="99">
        <f>C63/C12/B11</f>
        <v>0.07150034327970474</v>
      </c>
      <c r="C63" s="100">
        <f>'[3]мат-лы год'!$Q$34</f>
        <v>674.7773396678855</v>
      </c>
      <c r="D63" s="105"/>
      <c r="E63" s="102">
        <f>F63/F12/E11</f>
        <v>0.13898813019472167</v>
      </c>
      <c r="F63" s="103">
        <f>'[6]мат-лы год'!$Q$34</f>
        <v>1311.6865798996664</v>
      </c>
      <c r="G63" s="103">
        <f>H63/$H$12/$G$11</f>
        <v>0.1052442367372132</v>
      </c>
      <c r="H63" s="104">
        <f>F63+C63</f>
        <v>1986.4639195675518</v>
      </c>
    </row>
    <row r="64" spans="1:8" ht="12.75" hidden="1">
      <c r="A64" s="98" t="s">
        <v>31</v>
      </c>
      <c r="B64" s="99">
        <f>'[2]МУП'!$BJ$29+0.09</f>
        <v>2.0072767376431626</v>
      </c>
      <c r="C64" s="100">
        <f>B64*$B$11*$C$12</f>
        <v>18943.473483833586</v>
      </c>
      <c r="D64" s="105"/>
      <c r="E64" s="102">
        <f>'[5]МУП'!$CD$35+'[5]МУП'!$CF$35+'[5]МУП'!$CJ$35</f>
        <v>1.8357558155031906</v>
      </c>
      <c r="F64" s="103">
        <f>E64*$B$11*$C$12</f>
        <v>17324.761933229813</v>
      </c>
      <c r="G64" s="103">
        <f>H64/$H$12/$G$11</f>
        <v>1.9215162765731768</v>
      </c>
      <c r="H64" s="104">
        <f>F64+C64</f>
        <v>36268.2354170634</v>
      </c>
    </row>
    <row r="65" spans="1:8" ht="12.75">
      <c r="A65" s="129" t="s">
        <v>24</v>
      </c>
      <c r="B65" s="130"/>
      <c r="C65" s="131"/>
      <c r="D65" s="105"/>
      <c r="E65" s="109"/>
      <c r="F65" s="110"/>
      <c r="G65" s="110"/>
      <c r="H65" s="111"/>
    </row>
    <row r="66" spans="1:8" ht="12.75">
      <c r="A66" s="129" t="s">
        <v>25</v>
      </c>
      <c r="B66" s="130"/>
      <c r="C66" s="131"/>
      <c r="D66" s="105"/>
      <c r="E66" s="109"/>
      <c r="F66" s="110"/>
      <c r="G66" s="110"/>
      <c r="H66" s="111"/>
    </row>
    <row r="67" spans="1:8" ht="12.75">
      <c r="A67" s="129" t="s">
        <v>26</v>
      </c>
      <c r="B67" s="130"/>
      <c r="C67" s="131"/>
      <c r="D67" s="105"/>
      <c r="E67" s="109"/>
      <c r="F67" s="110"/>
      <c r="G67" s="110"/>
      <c r="H67" s="111"/>
    </row>
    <row r="68" spans="1:8" ht="12.75">
      <c r="A68" s="116" t="s">
        <v>38</v>
      </c>
      <c r="B68" s="117"/>
      <c r="C68" s="118"/>
      <c r="D68" s="105"/>
      <c r="E68" s="23"/>
      <c r="F68" s="86"/>
      <c r="G68" s="86"/>
      <c r="H68" s="92"/>
    </row>
    <row r="69" spans="1:8" ht="12.75">
      <c r="A69" s="116" t="s">
        <v>39</v>
      </c>
      <c r="B69" s="117"/>
      <c r="C69" s="118"/>
      <c r="D69" s="105"/>
      <c r="E69" s="23"/>
      <c r="F69" s="86"/>
      <c r="G69" s="86"/>
      <c r="H69" s="92"/>
    </row>
    <row r="70" spans="1:8" ht="12.75">
      <c r="A70" s="37" t="s">
        <v>40</v>
      </c>
      <c r="B70" s="38"/>
      <c r="C70" s="43"/>
      <c r="D70" s="81"/>
      <c r="E70" s="27"/>
      <c r="F70" s="87"/>
      <c r="G70" s="87"/>
      <c r="H70" s="93"/>
    </row>
    <row r="71" spans="1:8" ht="13.5" thickBot="1">
      <c r="A71" s="134" t="s">
        <v>43</v>
      </c>
      <c r="B71" s="135"/>
      <c r="C71" s="136"/>
      <c r="D71" s="81"/>
      <c r="E71" s="94"/>
      <c r="F71" s="95"/>
      <c r="G71" s="95"/>
      <c r="H71" s="96"/>
    </row>
    <row r="72" spans="1:8" s="1" customFormat="1" ht="13.5" thickBot="1">
      <c r="A72" s="16" t="s">
        <v>13</v>
      </c>
      <c r="B72" s="15">
        <f>B14+B15+B24</f>
        <v>11.475217648232059</v>
      </c>
      <c r="C72" s="40">
        <f>C24+C15+C14</f>
        <v>108296.21903342522</v>
      </c>
      <c r="D72" s="30"/>
      <c r="E72" s="84">
        <f>E14+E15+E24</f>
        <v>10.45712805519821</v>
      </c>
      <c r="F72" s="85">
        <f>F24+F15+F14</f>
        <v>98688.10030812758</v>
      </c>
      <c r="G72" s="84">
        <f>G14+G15+G24</f>
        <v>10.966172851715132</v>
      </c>
      <c r="H72" s="85">
        <f>H24+H15+H14</f>
        <v>206984.31934155282</v>
      </c>
    </row>
    <row r="73" spans="1:8" ht="13.5" hidden="1" thickBot="1">
      <c r="A73" s="5"/>
      <c r="B73" s="6"/>
      <c r="C73" s="5"/>
      <c r="E73" s="6"/>
      <c r="F73" s="5"/>
      <c r="G73" s="6"/>
      <c r="H73" s="5"/>
    </row>
    <row r="74" spans="1:8" s="1" customFormat="1" ht="13.5" hidden="1" thickBot="1">
      <c r="A74" s="4" t="s">
        <v>1</v>
      </c>
      <c r="B74" s="2" t="e">
        <f>SUM(B75:B76)</f>
        <v>#DIV/0!</v>
      </c>
      <c r="C74" s="2">
        <f>SUM(C75:C76)</f>
        <v>52491.26067910314</v>
      </c>
      <c r="E74" s="2" t="e">
        <f>SUM(E75:E76)</f>
        <v>#DIV/0!</v>
      </c>
      <c r="F74" s="2">
        <f>SUM(F75:F76)</f>
        <v>53587.92421129117</v>
      </c>
      <c r="G74" s="2" t="e">
        <f>SUM(G75:G76)</f>
        <v>#DIV/0!</v>
      </c>
      <c r="H74" s="2">
        <f>SUM(H75:H76)</f>
        <v>84104.7348903943</v>
      </c>
    </row>
    <row r="75" spans="1:8" ht="13.5" hidden="1" thickBot="1">
      <c r="A75" s="3" t="s">
        <v>6</v>
      </c>
      <c r="B75" s="2" t="e">
        <f>C75/B19</f>
        <v>#DIV/0!</v>
      </c>
      <c r="C75" s="2">
        <f>C26+C31+C61</f>
        <v>30516.81067910314</v>
      </c>
      <c r="E75" s="2" t="e">
        <f>F75/E19</f>
        <v>#DIV/0!</v>
      </c>
      <c r="F75" s="2">
        <f>F26+F31+F61</f>
        <v>31613.474211291166</v>
      </c>
      <c r="G75" s="2" t="e">
        <f>H75/G19</f>
        <v>#DIV/0!</v>
      </c>
      <c r="H75" s="2">
        <f>H26+H31+H61</f>
        <v>62130.28489039431</v>
      </c>
    </row>
    <row r="76" spans="1:8" ht="13.5" hidden="1" thickBot="1">
      <c r="A76" s="3" t="s">
        <v>7</v>
      </c>
      <c r="B76" s="2" t="e">
        <f>C76/B19</f>
        <v>#DIV/0!</v>
      </c>
      <c r="C76" s="2">
        <v>21974.45</v>
      </c>
      <c r="E76" s="2" t="e">
        <f>F76/E19</f>
        <v>#DIV/0!</v>
      </c>
      <c r="F76" s="2">
        <v>21974.45</v>
      </c>
      <c r="G76" s="2" t="e">
        <f>H76/G19</f>
        <v>#DIV/0!</v>
      </c>
      <c r="H76" s="2">
        <v>21974.45</v>
      </c>
    </row>
    <row r="77" spans="1:8" ht="13.5" hidden="1" thickBot="1">
      <c r="A77" s="3"/>
      <c r="B77" s="3"/>
      <c r="C77" s="3"/>
      <c r="E77" s="3"/>
      <c r="F77" s="3"/>
      <c r="G77" s="3"/>
      <c r="H77" s="3"/>
    </row>
    <row r="78" spans="1:8" ht="13.5" hidden="1" thickBot="1">
      <c r="A78" s="3"/>
      <c r="B78" s="3"/>
      <c r="C78" s="3"/>
      <c r="E78" s="3"/>
      <c r="F78" s="3"/>
      <c r="G78" s="3"/>
      <c r="H78" s="3"/>
    </row>
    <row r="79" spans="1:8" ht="13.5" hidden="1" thickBot="1">
      <c r="A79" s="3" t="s">
        <v>9</v>
      </c>
      <c r="B79" s="3">
        <v>11.67</v>
      </c>
      <c r="C79" s="3"/>
      <c r="E79" s="3">
        <v>11.67</v>
      </c>
      <c r="F79" s="3"/>
      <c r="G79" s="3">
        <v>11.67</v>
      </c>
      <c r="H79" s="3"/>
    </row>
    <row r="80" spans="1:8" ht="13.5" hidden="1" thickBot="1">
      <c r="A80" s="3" t="s">
        <v>8</v>
      </c>
      <c r="B80" s="3">
        <v>1.7</v>
      </c>
      <c r="C80" s="3"/>
      <c r="E80" s="3">
        <v>1.7</v>
      </c>
      <c r="F80" s="3"/>
      <c r="G80" s="3">
        <v>1.7</v>
      </c>
      <c r="H80" s="3"/>
    </row>
    <row r="81" spans="1:8" ht="13.5" hidden="1" thickBot="1">
      <c r="A81" s="3" t="s">
        <v>0</v>
      </c>
      <c r="B81" s="2">
        <v>8.82</v>
      </c>
      <c r="C81" s="2"/>
      <c r="E81" s="2">
        <v>8.82</v>
      </c>
      <c r="F81" s="2"/>
      <c r="G81" s="2">
        <v>8.82</v>
      </c>
      <c r="H81" s="2"/>
    </row>
    <row r="82" spans="1:8" ht="13.5" hidden="1" thickBot="1">
      <c r="A82" s="68" t="s">
        <v>10</v>
      </c>
      <c r="B82" s="69">
        <f>B79-B80-B81</f>
        <v>1.1500000000000004</v>
      </c>
      <c r="C82" s="69"/>
      <c r="E82" s="69">
        <f>E79-E80-E81</f>
        <v>1.1500000000000004</v>
      </c>
      <c r="F82" s="69"/>
      <c r="G82" s="69">
        <f>G79-G80-G81</f>
        <v>1.1500000000000004</v>
      </c>
      <c r="H82" s="69"/>
    </row>
    <row r="83" spans="1:8" s="22" customFormat="1" ht="26.25" thickBot="1">
      <c r="A83" s="70" t="s">
        <v>52</v>
      </c>
      <c r="B83" s="66">
        <f>C83/C12/B11</f>
        <v>0.18575031258609362</v>
      </c>
      <c r="C83" s="67">
        <v>1753</v>
      </c>
      <c r="E83" s="66">
        <f>F83/F12/E11</f>
        <v>0</v>
      </c>
      <c r="F83" s="67"/>
      <c r="G83" s="66">
        <f>H83/H12/G11</f>
        <v>0.09287515629304681</v>
      </c>
      <c r="H83" s="67">
        <f>F83+C83</f>
        <v>1753</v>
      </c>
    </row>
    <row r="84" spans="1:8" s="22" customFormat="1" ht="12.75">
      <c r="A84" s="71"/>
      <c r="B84" s="72"/>
      <c r="C84" s="72"/>
      <c r="E84" s="72"/>
      <c r="F84" s="72"/>
      <c r="G84" s="72"/>
      <c r="H84" s="72"/>
    </row>
    <row r="85" spans="1:8" s="75" customFormat="1" ht="12.75">
      <c r="A85" s="73" t="s">
        <v>53</v>
      </c>
      <c r="B85" s="74"/>
      <c r="E85" s="74"/>
      <c r="F85" s="74"/>
      <c r="G85" s="74"/>
      <c r="H85" s="74">
        <f>130.65+40.23+450+135.59+450+145.24</f>
        <v>1351.71</v>
      </c>
    </row>
    <row r="86" ht="15">
      <c r="A86" s="9"/>
    </row>
    <row r="87" spans="1:8" ht="15">
      <c r="A87" s="9" t="s">
        <v>68</v>
      </c>
      <c r="B87" s="9"/>
      <c r="C87" s="36"/>
      <c r="E87" s="9"/>
      <c r="F87" s="36"/>
      <c r="G87" s="9"/>
      <c r="H87" s="36">
        <f>G6-H72-H83</f>
        <v>6662.680658447207</v>
      </c>
    </row>
    <row r="88" ht="24.75" customHeight="1">
      <c r="A88" s="19"/>
    </row>
    <row r="89" ht="12.75">
      <c r="B89" s="77"/>
    </row>
    <row r="90" spans="1:8" ht="12.75">
      <c r="A90" s="1" t="s">
        <v>28</v>
      </c>
      <c r="B90" s="77"/>
      <c r="C90" s="1" t="s">
        <v>42</v>
      </c>
      <c r="E90" s="1"/>
      <c r="F90" s="1"/>
      <c r="G90" s="1" t="s">
        <v>71</v>
      </c>
      <c r="H90" s="1"/>
    </row>
    <row r="91" spans="1:8" ht="12.75">
      <c r="A91" s="1"/>
      <c r="B91" s="77"/>
      <c r="C91" s="1"/>
      <c r="F91" s="1"/>
      <c r="H91" s="1"/>
    </row>
    <row r="92" spans="2:8" ht="12.75">
      <c r="B92" s="77"/>
      <c r="C92" s="1"/>
      <c r="F92" s="1"/>
      <c r="H92" s="1"/>
    </row>
    <row r="93" spans="3:8" ht="12.75">
      <c r="C93" s="1"/>
      <c r="F93" s="1"/>
      <c r="H93" s="1"/>
    </row>
    <row r="94" spans="1:8" ht="12.75">
      <c r="A94" s="1" t="s">
        <v>33</v>
      </c>
      <c r="C94" s="1" t="s">
        <v>37</v>
      </c>
      <c r="F94" s="1"/>
      <c r="G94" s="1" t="s">
        <v>72</v>
      </c>
      <c r="H94" s="1"/>
    </row>
    <row r="95" spans="1:8" ht="12.75">
      <c r="A95" s="1"/>
      <c r="F95" s="1"/>
      <c r="H95" s="1"/>
    </row>
  </sheetData>
  <sheetProtection/>
  <mergeCells count="18">
    <mergeCell ref="A71:C71"/>
    <mergeCell ref="A67:C67"/>
    <mergeCell ref="A44:C44"/>
    <mergeCell ref="A47:C47"/>
    <mergeCell ref="A65:C65"/>
    <mergeCell ref="A66:C66"/>
    <mergeCell ref="A48:C48"/>
    <mergeCell ref="A49:C49"/>
    <mergeCell ref="A55:C55"/>
    <mergeCell ref="A56:C56"/>
    <mergeCell ref="A50:C50"/>
    <mergeCell ref="A51:C51"/>
    <mergeCell ref="E4:F4"/>
    <mergeCell ref="G4:H4"/>
    <mergeCell ref="B4:C4"/>
    <mergeCell ref="A1:H3"/>
    <mergeCell ref="A43:C43"/>
    <mergeCell ref="A35:C35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2013-05-16T11:27:31Z</cp:lastPrinted>
  <dcterms:created xsi:type="dcterms:W3CDTF">1996-10-08T23:32:33Z</dcterms:created>
  <dcterms:modified xsi:type="dcterms:W3CDTF">2013-05-17T07:10:52Z</dcterms:modified>
  <cp:category/>
  <cp:version/>
  <cp:contentType/>
  <cp:contentStatus/>
</cp:coreProperties>
</file>